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E:\OGN\Suplemento Tributario\AT 2021\ST\Herramienta visualización\Ejercicio\14d3\"/>
    </mc:Choice>
  </mc:AlternateContent>
  <xr:revisionPtr revIDLastSave="0" documentId="13_ncr:1_{7A901D4A-2A9D-4393-A786-46A24A5F97FE}" xr6:coauthVersionLast="46" xr6:coauthVersionMax="46" xr10:uidLastSave="{00000000-0000-0000-0000-000000000000}"/>
  <bookViews>
    <workbookView xWindow="-120" yWindow="-120" windowWidth="20730" windowHeight="11160" tabRatio="811" firstSheet="2" activeTab="3" xr2:uid="{00000000-000D-0000-FFFF-FFFF00000000}"/>
  </bookViews>
  <sheets>
    <sheet name="Antecedentes" sheetId="1" r:id="rId1"/>
    <sheet name="Base Imponible y 14E" sheetId="4" r:id="rId2"/>
    <sheet name="R17 " sheetId="14" r:id="rId3"/>
    <sheet name="RAI Inicial y Final" sheetId="8" r:id="rId4"/>
    <sheet name="R18 " sheetId="12" r:id="rId5"/>
    <sheet name="CPT Simplificado" sheetId="7" r:id="rId6"/>
    <sheet name="R19" sheetId="15" r:id="rId7"/>
    <sheet name="RTRE" sheetId="6" r:id="rId8"/>
    <sheet name="R20 " sheetId="13" r:id="rId9"/>
    <sheet name="R21 " sheetId="17" r:id="rId10"/>
    <sheet name="Datos para DJ 1948" sheetId="19" r:id="rId11"/>
    <sheet name="F1948" sheetId="18" r:id="rId12"/>
    <sheet name="Cert. 70 L_Ortiz" sheetId="20" r:id="rId13"/>
    <sheet name="Determinacion RLI Año 2019" sheetId="5" state="hidden" r:id="rId14"/>
  </sheets>
  <externalReferences>
    <externalReference r:id="rId15"/>
    <externalReference r:id="rId16"/>
    <externalReference r:id="rId17"/>
  </externalReferences>
  <definedNames>
    <definedName name="_xlnm.Print_Area" localSheetId="1">'Base Imponible y 14E'!$A$1:$O$58</definedName>
    <definedName name="_xlnm.Print_Area" localSheetId="12">'Cert. 70 L_Ortiz'!$A$1:$AL$31</definedName>
    <definedName name="_xlnm.Print_Area" localSheetId="5">'CPT Simplificado'!$A$1:$J$15</definedName>
    <definedName name="_xlnm.Print_Area" localSheetId="11">'F1948'!$A$2:$AI$36</definedName>
    <definedName name="_xlnm.Print_Area" localSheetId="2">'R17 '!$B$1:$N$48</definedName>
    <definedName name="_xlnm.Print_Area" localSheetId="4">'R18 '!$A$1:$N$17</definedName>
    <definedName name="_xlnm.Print_Area" localSheetId="6">'R19'!$A$1:$I$27</definedName>
    <definedName name="_xlnm.Print_Area" localSheetId="7">RTRE!$A$1:$R$29</definedName>
    <definedName name="CERTIFICADO">#REF!</definedName>
    <definedName name="Codigo">#REF!</definedName>
    <definedName name="GVKey">""</definedName>
    <definedName name="INVERSION" localSheetId="12">#REF!</definedName>
    <definedName name="INVERSION" localSheetId="11">#REF!</definedName>
    <definedName name="INVERSION" localSheetId="2">#REF!</definedName>
    <definedName name="INVERSION" localSheetId="4">#REF!</definedName>
    <definedName name="INVERSION" localSheetId="6">#REF!</definedName>
    <definedName name="INVERSION" localSheetId="8">#REF!</definedName>
    <definedName name="INVERSION">#REF!</definedName>
    <definedName name="operacion" localSheetId="12">#REF!</definedName>
    <definedName name="operacion" localSheetId="11">#REF!</definedName>
    <definedName name="operacion" localSheetId="2">#REF!</definedName>
    <definedName name="operacion" localSheetId="4">#REF!</definedName>
    <definedName name="operacion" localSheetId="6">#REF!</definedName>
    <definedName name="operacion" localSheetId="8">#REF!</definedName>
    <definedName name="operacion">#REF!</definedName>
    <definedName name="OPERACION1" localSheetId="12">#REF!</definedName>
    <definedName name="OPERACION1" localSheetId="11">#REF!</definedName>
    <definedName name="OPERACION1" localSheetId="2">#REF!</definedName>
    <definedName name="OPERACION1" localSheetId="4">#REF!</definedName>
    <definedName name="OPERACION1" localSheetId="6">#REF!</definedName>
    <definedName name="OPERACION1" localSheetId="8">#REF!</definedName>
    <definedName name="OPERACION1">#REF!</definedName>
    <definedName name="SPSet">"current"</definedName>
    <definedName name="SPWS_WBID">""</definedName>
    <definedName name="_xlnm.Print_Titles" localSheetId="2">'R17 '!$1:$4</definedName>
    <definedName name="v" localSheetId="11">'[1]Registrar F.22 AT.2013'!$A$2:$B$182</definedName>
    <definedName name="v" localSheetId="2">'[2]Registrar '!$A$2:$B$182</definedName>
    <definedName name="v" localSheetId="4">'[2]Registrar '!$A$2:$B$182</definedName>
    <definedName name="v" localSheetId="6">'[2]Registrar '!$A$2:$B$182</definedName>
    <definedName name="v" localSheetId="8">'[2]Registrar '!$A$2:$B$182</definedName>
    <definedName name="v">'[3]Registrar  AT.Actual'!$A$2:$B$182</definedName>
    <definedName name="x">'[3]Registrar  AT.-1'!$A:$B</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6" l="1"/>
  <c r="J54" i="1"/>
  <c r="L37" i="1"/>
  <c r="T19" i="20"/>
  <c r="G19" i="20"/>
  <c r="D19" i="20"/>
  <c r="D3" i="20"/>
  <c r="D2" i="20"/>
  <c r="AF45" i="18"/>
  <c r="AE45" i="18"/>
  <c r="AD45" i="18"/>
  <c r="AC45" i="18"/>
  <c r="AB45" i="18"/>
  <c r="AA45" i="18"/>
  <c r="Z45" i="18"/>
  <c r="Y45" i="18"/>
  <c r="X45" i="18"/>
  <c r="W45" i="18"/>
  <c r="V45" i="18"/>
  <c r="U45" i="18"/>
  <c r="T45" i="18"/>
  <c r="S45" i="18"/>
  <c r="P45" i="18"/>
  <c r="O45" i="18"/>
  <c r="N45" i="18"/>
  <c r="M45" i="18"/>
  <c r="L45" i="18"/>
  <c r="K45" i="18"/>
  <c r="J45" i="18"/>
  <c r="I45" i="18"/>
  <c r="H45" i="18"/>
  <c r="F45" i="18"/>
  <c r="E45" i="18"/>
  <c r="D45" i="18"/>
  <c r="B45" i="18"/>
  <c r="B26" i="18"/>
  <c r="B25" i="18"/>
  <c r="B19" i="20" s="1"/>
  <c r="D5" i="19"/>
  <c r="F5" i="19" s="1"/>
  <c r="D4" i="19"/>
  <c r="D11" i="19" s="1"/>
  <c r="F25" i="18" s="1"/>
  <c r="I19" i="20" s="1"/>
  <c r="I20" i="20" s="1"/>
  <c r="D12" i="19" l="1"/>
  <c r="E12" i="19" s="1"/>
  <c r="D6" i="19"/>
  <c r="D13" i="19" l="1"/>
  <c r="F12" i="19"/>
  <c r="F26" i="18"/>
  <c r="C45" i="18"/>
  <c r="D14" i="13" l="1"/>
  <c r="F9" i="7" l="1"/>
  <c r="L27" i="1"/>
  <c r="F22" i="6" l="1"/>
  <c r="E22" i="6"/>
  <c r="J22" i="6" s="1"/>
  <c r="F16" i="17" s="1"/>
  <c r="J21" i="6"/>
  <c r="H5" i="19" s="1"/>
  <c r="F21" i="6"/>
  <c r="D21" i="6"/>
  <c r="B21" i="6"/>
  <c r="J20" i="6"/>
  <c r="E20" i="6"/>
  <c r="D20" i="6"/>
  <c r="B20" i="6"/>
  <c r="F19" i="6"/>
  <c r="M17" i="6"/>
  <c r="F17" i="6"/>
  <c r="F16" i="6"/>
  <c r="I15" i="6"/>
  <c r="I18" i="6" s="1"/>
  <c r="K11" i="6"/>
  <c r="H4" i="19" l="1"/>
  <c r="F14" i="17"/>
  <c r="I5" i="19"/>
  <c r="H12" i="19"/>
  <c r="I23" i="6"/>
  <c r="N12" i="13"/>
  <c r="N16" i="13" s="1"/>
  <c r="F15" i="6"/>
  <c r="I12" i="19" l="1"/>
  <c r="U26" i="18" s="1"/>
  <c r="H11" i="19"/>
  <c r="I4" i="19"/>
  <c r="I6" i="19" s="1"/>
  <c r="H6" i="19"/>
  <c r="I22" i="4"/>
  <c r="I21" i="4"/>
  <c r="D27" i="14" s="1"/>
  <c r="I20" i="4"/>
  <c r="D23" i="14" s="1"/>
  <c r="I19" i="4"/>
  <c r="D32" i="14" s="1"/>
  <c r="B23" i="4"/>
  <c r="B31" i="4" s="1"/>
  <c r="B22" i="4"/>
  <c r="B30" i="4" s="1"/>
  <c r="I11" i="19" l="1"/>
  <c r="H13" i="19"/>
  <c r="I30" i="4"/>
  <c r="G99" i="1"/>
  <c r="I13" i="19" l="1"/>
  <c r="U25" i="18"/>
  <c r="W19" i="20"/>
  <c r="W20" i="20" s="1"/>
  <c r="Q45" i="18"/>
  <c r="B20" i="4"/>
  <c r="X19" i="20" l="1"/>
  <c r="R45" i="18"/>
  <c r="E100" i="1"/>
  <c r="E21" i="6" s="1"/>
  <c r="G100" i="1" l="1"/>
  <c r="G101" i="1" s="1"/>
  <c r="B27" i="4"/>
  <c r="B26" i="4"/>
  <c r="B15" i="4"/>
  <c r="B16" i="4"/>
  <c r="B18" i="4"/>
  <c r="B19" i="4"/>
  <c r="I9" i="4"/>
  <c r="I7" i="4"/>
  <c r="D9" i="14" s="1"/>
  <c r="F64" i="5" l="1"/>
  <c r="I64" i="5"/>
  <c r="M11" i="6"/>
  <c r="M18" i="6" s="1"/>
  <c r="H64" i="5"/>
  <c r="I28" i="5"/>
  <c r="I48" i="5" s="1"/>
  <c r="H26" i="5"/>
  <c r="I26" i="5" s="1"/>
  <c r="H25" i="5"/>
  <c r="I25" i="5" s="1"/>
  <c r="N36" i="5"/>
  <c r="C38" i="5"/>
  <c r="C37" i="5"/>
  <c r="C36" i="5"/>
  <c r="C35" i="5"/>
  <c r="C34" i="5"/>
  <c r="C33" i="5"/>
  <c r="H13" i="5"/>
  <c r="H27" i="5" s="1"/>
  <c r="I27" i="5" s="1"/>
  <c r="M30" i="5"/>
  <c r="I15" i="5"/>
  <c r="I49" i="5" s="1"/>
  <c r="I14" i="5"/>
  <c r="H37" i="5" s="1"/>
  <c r="H65" i="1" s="1"/>
  <c r="N27" i="5"/>
  <c r="K13" i="1"/>
  <c r="G16" i="5"/>
  <c r="H16" i="5" s="1"/>
  <c r="I16" i="5" s="1"/>
  <c r="H40" i="5" s="1"/>
  <c r="L48" i="1" s="1"/>
  <c r="H24" i="5"/>
  <c r="I24" i="5" s="1"/>
  <c r="G11" i="5"/>
  <c r="P69" i="5"/>
  <c r="M68" i="5"/>
  <c r="N67" i="5"/>
  <c r="M67" i="5"/>
  <c r="N66" i="5"/>
  <c r="M66" i="5"/>
  <c r="N65" i="5"/>
  <c r="N64" i="5"/>
  <c r="N48" i="5"/>
  <c r="O47" i="5"/>
  <c r="O46" i="5"/>
  <c r="O45" i="5"/>
  <c r="K23" i="5"/>
  <c r="I23" i="5"/>
  <c r="O12" i="5"/>
  <c r="O13" i="5" s="1"/>
  <c r="O6" i="5"/>
  <c r="M23" i="6" l="1"/>
  <c r="P12" i="13"/>
  <c r="P16" i="13" s="1"/>
  <c r="H67" i="1"/>
  <c r="I66" i="1" s="1"/>
  <c r="I29" i="5"/>
  <c r="E61" i="5"/>
  <c r="E80" i="1" s="1"/>
  <c r="I39" i="5"/>
  <c r="O35" i="5"/>
  <c r="H11" i="5"/>
  <c r="G10" i="5" s="1"/>
  <c r="H10" i="5"/>
  <c r="O67" i="5"/>
  <c r="O66" i="5"/>
  <c r="N69" i="5"/>
  <c r="N68" i="5"/>
  <c r="O68" i="5" s="1"/>
  <c r="H12" i="5"/>
  <c r="I12" i="5" s="1"/>
  <c r="H35" i="5" s="1"/>
  <c r="H63" i="1" s="1"/>
  <c r="I26" i="4" s="1"/>
  <c r="D14" i="14" s="1"/>
  <c r="I13" i="5"/>
  <c r="H36" i="5" s="1"/>
  <c r="H64" i="1" s="1"/>
  <c r="I27" i="4" l="1"/>
  <c r="D15" i="14" s="1"/>
  <c r="I11" i="5"/>
  <c r="H34" i="5" s="1"/>
  <c r="H62" i="1" s="1"/>
  <c r="O23" i="5"/>
  <c r="I19" i="5"/>
  <c r="I28" i="4" l="1"/>
  <c r="L13" i="1"/>
  <c r="L12" i="1"/>
  <c r="K14" i="1"/>
  <c r="I3" i="5" s="1"/>
  <c r="E106" i="1"/>
  <c r="G106" i="1" s="1"/>
  <c r="E105" i="1"/>
  <c r="L49" i="1"/>
  <c r="G105" i="1" l="1"/>
  <c r="G107" i="1" s="1"/>
  <c r="E107" i="1"/>
  <c r="L52" i="1" s="1"/>
  <c r="O3" i="5"/>
  <c r="O7" i="5" s="1"/>
  <c r="I5" i="5"/>
  <c r="I6" i="5" s="1"/>
  <c r="M64" i="5" s="1"/>
  <c r="I44" i="5"/>
  <c r="M27" i="5"/>
  <c r="O27" i="5" s="1"/>
  <c r="M43" i="5"/>
  <c r="M36" i="5"/>
  <c r="O36" i="5" s="1"/>
  <c r="F10" i="5"/>
  <c r="L14" i="1"/>
  <c r="F6" i="8" l="1"/>
  <c r="F15" i="8"/>
  <c r="D10" i="12" s="1"/>
  <c r="I10" i="4"/>
  <c r="I11" i="4" s="1"/>
  <c r="D10" i="14" s="1"/>
  <c r="O43" i="5"/>
  <c r="O49" i="5" s="1"/>
  <c r="I45" i="5"/>
  <c r="O28" i="5"/>
  <c r="F18" i="5"/>
  <c r="I18" i="5" s="1"/>
  <c r="I20" i="5" s="1"/>
  <c r="I10" i="5"/>
  <c r="O64" i="5"/>
  <c r="O70" i="5" s="1"/>
  <c r="N30" i="5" l="1"/>
  <c r="O30" i="5" s="1"/>
  <c r="M44" i="5"/>
  <c r="L30" i="5"/>
  <c r="I17" i="5"/>
  <c r="I21" i="5" s="1"/>
  <c r="H33" i="5"/>
  <c r="I32" i="5" l="1"/>
  <c r="I41" i="5" s="1"/>
  <c r="H61" i="1"/>
  <c r="I60" i="1" s="1"/>
  <c r="I68" i="1" s="1"/>
  <c r="O44" i="5"/>
  <c r="O48" i="5" s="1"/>
  <c r="M65" i="5"/>
  <c r="M48" i="5"/>
  <c r="O31" i="5"/>
  <c r="I47" i="5"/>
  <c r="F5" i="7" l="1"/>
  <c r="D4" i="15" s="1"/>
  <c r="F4" i="8"/>
  <c r="E79" i="1"/>
  <c r="E81" i="1" s="1"/>
  <c r="O32" i="5"/>
  <c r="L51" i="1" s="1"/>
  <c r="D65" i="5"/>
  <c r="D67" i="5" s="1"/>
  <c r="I46" i="5"/>
  <c r="I50" i="5" s="1"/>
  <c r="E60" i="5"/>
  <c r="E64" i="5" s="1"/>
  <c r="O65" i="5"/>
  <c r="O69" i="5" s="1"/>
  <c r="M69" i="5"/>
  <c r="O50" i="5"/>
  <c r="Q48" i="5"/>
  <c r="F5" i="8" l="1"/>
  <c r="H11" i="6"/>
  <c r="F10" i="7"/>
  <c r="D17" i="15" s="1"/>
  <c r="H12" i="6"/>
  <c r="F7" i="8"/>
  <c r="I23" i="4"/>
  <c r="O71" i="5"/>
  <c r="Q69" i="5"/>
  <c r="N52" i="5"/>
  <c r="N53" i="5" s="1"/>
  <c r="N73" i="5"/>
  <c r="N74" i="5" s="1"/>
  <c r="O37" i="5"/>
  <c r="F5" i="13" l="1"/>
  <c r="H18" i="6"/>
  <c r="I31" i="4"/>
  <c r="K32" i="4" s="1"/>
  <c r="D30" i="14"/>
  <c r="F12" i="6"/>
  <c r="F10" i="13"/>
  <c r="F14" i="8"/>
  <c r="G11" i="6"/>
  <c r="D38" i="14" l="1"/>
  <c r="D5" i="13"/>
  <c r="H20" i="6"/>
  <c r="E4" i="19" s="1"/>
  <c r="D9" i="12"/>
  <c r="F11" i="6"/>
  <c r="G13" i="6"/>
  <c r="G18" i="6" s="1"/>
  <c r="E101" i="1"/>
  <c r="F13" i="8" s="1"/>
  <c r="K43" i="1"/>
  <c r="K54" i="1" s="1"/>
  <c r="L42" i="1"/>
  <c r="L41" i="1"/>
  <c r="L40" i="1"/>
  <c r="I45" i="4"/>
  <c r="N27" i="1"/>
  <c r="O29" i="1" s="1"/>
  <c r="L29" i="1"/>
  <c r="E6" i="19" l="1"/>
  <c r="E11" i="19"/>
  <c r="F4" i="19"/>
  <c r="F8" i="7"/>
  <c r="D16" i="15" s="1"/>
  <c r="D7" i="12"/>
  <c r="F20" i="6"/>
  <c r="F14" i="13"/>
  <c r="F16" i="13" s="1"/>
  <c r="F13" i="6"/>
  <c r="D10" i="13"/>
  <c r="H23" i="6"/>
  <c r="I16" i="4"/>
  <c r="D21" i="14" s="1"/>
  <c r="I15" i="4"/>
  <c r="I17" i="4"/>
  <c r="D19" i="14" s="1"/>
  <c r="I46" i="4"/>
  <c r="L53" i="1"/>
  <c r="I44" i="4"/>
  <c r="L43" i="1"/>
  <c r="I18" i="4" s="1"/>
  <c r="D20" i="14" s="1"/>
  <c r="N22" i="1"/>
  <c r="D17" i="14" l="1"/>
  <c r="D37" i="14" s="1"/>
  <c r="I24" i="4"/>
  <c r="K29" i="4" s="1"/>
  <c r="E13" i="19"/>
  <c r="J25" i="18"/>
  <c r="F11" i="19"/>
  <c r="F19" i="20"/>
  <c r="F20" i="20" s="1"/>
  <c r="F6" i="19"/>
  <c r="L54" i="1"/>
  <c r="J33" i="1"/>
  <c r="J17" i="6" s="1"/>
  <c r="F11" i="17" s="1"/>
  <c r="J34" i="1"/>
  <c r="J32" i="1"/>
  <c r="K17" i="6" s="1"/>
  <c r="F7" i="7"/>
  <c r="D14" i="15" s="1"/>
  <c r="K24" i="1"/>
  <c r="J24" i="1"/>
  <c r="L21" i="1"/>
  <c r="L22" i="1"/>
  <c r="L23" i="1"/>
  <c r="L20" i="1"/>
  <c r="I6" i="4" s="1"/>
  <c r="G45" i="18" l="1"/>
  <c r="M19" i="20"/>
  <c r="M20" i="20" s="1"/>
  <c r="F13" i="19"/>
  <c r="H19" i="20"/>
  <c r="H20" i="20" s="1"/>
  <c r="K18" i="6"/>
  <c r="K23" i="6" s="1"/>
  <c r="J11" i="17"/>
  <c r="J17" i="17" s="1"/>
  <c r="L17" i="6"/>
  <c r="N20" i="1"/>
  <c r="O24" i="1" s="1"/>
  <c r="J37" i="1"/>
  <c r="L24" i="1"/>
  <c r="I8" i="4" l="1"/>
  <c r="D5" i="14"/>
  <c r="D13" i="14" s="1"/>
  <c r="D39" i="14" s="1"/>
  <c r="L18" i="6"/>
  <c r="L23" i="6" s="1"/>
  <c r="P11" i="17"/>
  <c r="P17" i="17" s="1"/>
  <c r="K12" i="4" l="1"/>
  <c r="K34" i="4" s="1"/>
  <c r="I43" i="4" s="1"/>
  <c r="O34" i="5"/>
  <c r="O38" i="5" s="1"/>
  <c r="I51" i="5"/>
  <c r="I47" i="4" l="1"/>
  <c r="I48" i="4" s="1"/>
  <c r="K36" i="4" s="1"/>
  <c r="F11" i="7" l="1"/>
  <c r="D20" i="15" s="1"/>
  <c r="D40" i="14"/>
  <c r="D42" i="14" s="1"/>
  <c r="K38" i="4"/>
  <c r="K39" i="4" l="1"/>
  <c r="J16" i="6" s="1"/>
  <c r="J18" i="6" s="1"/>
  <c r="E16" i="6"/>
  <c r="F6" i="7"/>
  <c r="F12" i="7" l="1"/>
  <c r="F12" i="8" s="1"/>
  <c r="D9" i="15"/>
  <c r="D24" i="15" s="1"/>
  <c r="J23" i="6"/>
  <c r="F10" i="17"/>
  <c r="F17" i="17" s="1"/>
  <c r="F16" i="8" l="1"/>
  <c r="D11" i="13" s="1"/>
  <c r="D16" i="13" s="1"/>
  <c r="D4" i="12"/>
  <c r="D8" i="12" s="1"/>
  <c r="D13" i="12" s="1"/>
  <c r="G23" i="6"/>
  <c r="F14" i="6"/>
  <c r="F18" i="6" l="1"/>
  <c r="F23" i="6" s="1"/>
</calcChain>
</file>

<file path=xl/sharedStrings.xml><?xml version="1.0" encoding="utf-8"?>
<sst xmlns="http://schemas.openxmlformats.org/spreadsheetml/2006/main" count="923" uniqueCount="601">
  <si>
    <t>RAI</t>
  </si>
  <si>
    <t>REX</t>
  </si>
  <si>
    <t>RAP</t>
  </si>
  <si>
    <t>SAC</t>
  </si>
  <si>
    <t>DETALLE</t>
  </si>
  <si>
    <t>Acumulado a contar del 01.01.2017</t>
  </si>
  <si>
    <t>Acumulado hasta el 31.12.2016</t>
  </si>
  <si>
    <t>STUT</t>
  </si>
  <si>
    <t>Crédito por IDPC</t>
  </si>
  <si>
    <t>Factor</t>
  </si>
  <si>
    <t>No sujeto
Restitución</t>
  </si>
  <si>
    <t>Sujeto a
Restitución</t>
  </si>
  <si>
    <t>Con
devolución</t>
  </si>
  <si>
    <t>Monto $</t>
  </si>
  <si>
    <t>CONTROL</t>
  </si>
  <si>
    <t>ANTECEDENTES</t>
  </si>
  <si>
    <t>TOTAL EGRESOS DEL EJERCICIO</t>
  </si>
  <si>
    <t>TOTAL INGRESOS DEL GIRO</t>
  </si>
  <si>
    <t>TOTAL OTROS INGRESOS DEL EJERCICIO</t>
  </si>
  <si>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</si>
  <si>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</si>
  <si>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</si>
  <si>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</si>
  <si>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</si>
  <si>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</si>
  <si>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</si>
  <si>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</si>
  <si>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</si>
  <si>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</si>
  <si>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</si>
  <si>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 Octubre 2020</t>
  </si>
  <si>
    <t xml:space="preserve"> Noviembre 2020</t>
  </si>
  <si>
    <t xml:space="preserve">Amortización ejercicio crédito otorgado por Banco </t>
  </si>
  <si>
    <t>I.</t>
  </si>
  <si>
    <t>II.</t>
  </si>
  <si>
    <t>III.</t>
  </si>
  <si>
    <t>CORRECCIÓN MONETARIA ANUAL</t>
  </si>
  <si>
    <t>CORRECCIÓN MONETARIA SEGÚN INDICES</t>
  </si>
  <si>
    <t>AÑO 2019</t>
  </si>
  <si>
    <t>Capital Aportado Originalmente</t>
  </si>
  <si>
    <t>Capital Original aportado</t>
  </si>
  <si>
    <t>Corrección Monetaria</t>
  </si>
  <si>
    <t>AÑO 2020</t>
  </si>
  <si>
    <t xml:space="preserve">Capital Actualizado al </t>
  </si>
  <si>
    <t>Capital Actualizado</t>
  </si>
  <si>
    <t>CORRECCIÓN MONETARIA SEGÚN INDICE 2020</t>
  </si>
  <si>
    <t>MOVIMIENTOS</t>
  </si>
  <si>
    <t>Inicial</t>
  </si>
  <si>
    <t xml:space="preserve">Aumento </t>
  </si>
  <si>
    <t>Disminuye</t>
  </si>
  <si>
    <t>Final</t>
  </si>
  <si>
    <t>Clientes</t>
  </si>
  <si>
    <t>Indice Noviembr de 2020</t>
  </si>
  <si>
    <t>Existencias</t>
  </si>
  <si>
    <t>Activo Fijo</t>
  </si>
  <si>
    <t>Proveedores</t>
  </si>
  <si>
    <t>Capital Aportado</t>
  </si>
  <si>
    <t>Resultado del Ejercicio</t>
  </si>
  <si>
    <t>ESTADO DE RESULTADOS</t>
  </si>
  <si>
    <t>DETERMINACION RLI</t>
  </si>
  <si>
    <t>Ventas</t>
  </si>
  <si>
    <t>Costo de Ventas</t>
  </si>
  <si>
    <t>Agregados</t>
  </si>
  <si>
    <t>Gastos Generales</t>
  </si>
  <si>
    <t>Remuneraciones</t>
  </si>
  <si>
    <t>Deducciones</t>
  </si>
  <si>
    <t>Depreciación</t>
  </si>
  <si>
    <t>Corrección Monetaria CPT</t>
  </si>
  <si>
    <t>RESULTADO TRIBUTARIO</t>
  </si>
  <si>
    <t>Determinacion RAI</t>
  </si>
  <si>
    <t>Total Activo</t>
  </si>
  <si>
    <t>CPT</t>
  </si>
  <si>
    <t>Menos RAP</t>
  </si>
  <si>
    <t>RENTAS AFECTAS A IMPUESTO</t>
  </si>
  <si>
    <t>Pasivo Exigible</t>
  </si>
  <si>
    <t>Capital</t>
  </si>
  <si>
    <t>Proveedores (por gastos)</t>
  </si>
  <si>
    <t>RLI</t>
  </si>
  <si>
    <t>Retiros</t>
  </si>
  <si>
    <t>CAPITAL PROPIO TRIBUTARIO</t>
  </si>
  <si>
    <t>Dividendos</t>
  </si>
  <si>
    <t>GR</t>
  </si>
  <si>
    <t>CAPITAL PROPIO SIMPLIFICADO</t>
  </si>
  <si>
    <t>Menos Capital Histórico</t>
  </si>
  <si>
    <t>Detalle</t>
  </si>
  <si>
    <t>Rentas atribuidas Propias (RAP)</t>
  </si>
  <si>
    <t>Saldo acumulado de créditos</t>
  </si>
  <si>
    <t>Saldo Total de Utilidades Tributarias (STUT)</t>
  </si>
  <si>
    <t>Acumulados desde 01.01.2017</t>
  </si>
  <si>
    <t>Hasta el 31.12.2016</t>
  </si>
  <si>
    <t>Con D Devolución</t>
  </si>
  <si>
    <t>1.-RLI del Ejercicio</t>
  </si>
  <si>
    <t>2.- Retiros del Ejercicio</t>
  </si>
  <si>
    <t>Saldo Final</t>
  </si>
  <si>
    <t>Año 2019</t>
  </si>
  <si>
    <t>año 2020</t>
  </si>
  <si>
    <t>Total</t>
  </si>
  <si>
    <t>TOTALES</t>
  </si>
  <si>
    <t>Menos Capital Actualizado</t>
  </si>
  <si>
    <t>Indice Abril 2019</t>
  </si>
  <si>
    <t>Ipc Abril a Diciembre de 2019</t>
  </si>
  <si>
    <t>Indice Abril  2019</t>
  </si>
  <si>
    <t>Indice Noviembre de 2019</t>
  </si>
  <si>
    <t>Determinación del Capital Propio Tributario al 31.12.2019:</t>
  </si>
  <si>
    <t>Incentivo al Ahorro</t>
  </si>
  <si>
    <t>Cuenta Particular</t>
  </si>
  <si>
    <t>Acciones</t>
  </si>
  <si>
    <t>RLI Ejercicio</t>
  </si>
  <si>
    <t>Retiros del Ejercicio</t>
  </si>
  <si>
    <t>Beneficio 14 Ter C</t>
  </si>
  <si>
    <t>Retiros Provisorios</t>
  </si>
  <si>
    <t>CPT PROYECTADO</t>
  </si>
  <si>
    <t>RAZONABILIDAD DEL CPT</t>
  </si>
  <si>
    <t>RLI inv.</t>
  </si>
  <si>
    <t>IV.</t>
  </si>
  <si>
    <t>V.</t>
  </si>
  <si>
    <t>Banco</t>
  </si>
  <si>
    <t>Dividendos Percibidos</t>
  </si>
  <si>
    <t>Sujetos a Restitución</t>
  </si>
  <si>
    <t>4.- Gastos Rechazados</t>
  </si>
  <si>
    <t xml:space="preserve">3.- IDPC Dividendos Percibidos </t>
  </si>
  <si>
    <t>IDPC POR PAGAR</t>
  </si>
  <si>
    <t>VI</t>
  </si>
  <si>
    <t>Remanentes ejercicio siguiente …............……………………………………………</t>
  </si>
  <si>
    <t>INGRESOS NO RENTA</t>
  </si>
  <si>
    <t>INGRESOS DEL EJERCICIO</t>
  </si>
  <si>
    <t>EGRESOS DEL EJERCICIO</t>
  </si>
  <si>
    <t xml:space="preserve">TOTAL INGRESOS </t>
  </si>
  <si>
    <t>TOTAL OTROS INGRESOS</t>
  </si>
  <si>
    <t>BASE IMPONIBLE ANTES DE BENEFICIO INCENTIVO AL AHORRO</t>
  </si>
  <si>
    <t>BASE IMPONIBLE</t>
  </si>
  <si>
    <t>Arriendos</t>
  </si>
  <si>
    <t xml:space="preserve">  </t>
  </si>
  <si>
    <t>Participación</t>
  </si>
  <si>
    <t xml:space="preserve">Saldo inicial </t>
  </si>
  <si>
    <t>Pagados ($)</t>
  </si>
  <si>
    <t>Pago IDPC AT. 2020</t>
  </si>
  <si>
    <t>Históricos ($)</t>
  </si>
  <si>
    <t>Actualizados ($)</t>
  </si>
  <si>
    <t>Neto ($)</t>
  </si>
  <si>
    <t>($)</t>
  </si>
  <si>
    <t>Los saldos de los registros de renta empresariales al 31.12.2019 fueron los siguientes:</t>
  </si>
  <si>
    <t xml:space="preserve">RAP </t>
  </si>
  <si>
    <t>EGRESOS POR CAMBIO DE RÉGIMEN</t>
  </si>
  <si>
    <t>Percibidos ($)</t>
  </si>
  <si>
    <t>Percibidos $</t>
  </si>
  <si>
    <t xml:space="preserve">Octubre 2020 </t>
  </si>
  <si>
    <t xml:space="preserve">Noviembre  2020 </t>
  </si>
  <si>
    <t>i)</t>
  </si>
  <si>
    <t xml:space="preserve">ii) </t>
  </si>
  <si>
    <t>Adeudados ($)</t>
  </si>
  <si>
    <t>Monto Bruto</t>
  </si>
  <si>
    <t>Capital $</t>
  </si>
  <si>
    <t xml:space="preserve">Ventas netas año 2020 a entidades NO relacionadas </t>
  </si>
  <si>
    <t xml:space="preserve">Tasa IDPC </t>
  </si>
  <si>
    <t xml:space="preserve">Factor IDPC </t>
  </si>
  <si>
    <t xml:space="preserve">iii) </t>
  </si>
  <si>
    <t>iv)</t>
  </si>
  <si>
    <t>1.-</t>
  </si>
  <si>
    <t>Ingresos netos por venta computador</t>
  </si>
  <si>
    <t>(=) Sub total Base Imponible ..……………………………………………………………….....................................……...........................</t>
  </si>
  <si>
    <t>2.-</t>
  </si>
  <si>
    <t>(+) Total Dividendos percibidos ……………………………………………………………........................................................................................</t>
  </si>
  <si>
    <r>
      <t>Determinación</t>
    </r>
    <r>
      <rPr>
        <b/>
        <sz val="14"/>
        <color rgb="FFFF0000"/>
        <rFont val="Calibri"/>
        <family val="2"/>
        <scheme val="minor"/>
      </rPr>
      <t xml:space="preserve"> </t>
    </r>
    <r>
      <rPr>
        <b/>
        <sz val="14"/>
        <color theme="1"/>
        <rFont val="Calibri"/>
        <family val="2"/>
        <scheme val="minor"/>
      </rPr>
      <t xml:space="preserve"> RAI al 31.12.2020</t>
    </r>
  </si>
  <si>
    <t>(=) Rentas afectas del ejercicio al 01.01.2020 …………………………………………………………………………………………………………………………………..</t>
  </si>
  <si>
    <t>(=) Rentas afectas del ejercicio  ……………………………………………………………………………………………………………………………………..</t>
  </si>
  <si>
    <t>Histórico ($)</t>
  </si>
  <si>
    <t>Socio 1: Sr. Ortiz  contribuyente del IGC……………………………………………………………………………………………………………………………………………………………………………………………………………………………………………………………….</t>
  </si>
  <si>
    <t>Socio 2: Sr. Escudero contribuyente del IGC……………………………………………………………………………………………………………………………………………………………………………………………………………………………………………………………….</t>
  </si>
  <si>
    <t>Total capital social aportado…………………………………………………………………………………………………………………………………………………………………………………………………………………………………….</t>
  </si>
  <si>
    <t>Neto factura ($)</t>
  </si>
  <si>
    <t>Cobro factura emitida en diciembre de 2019</t>
  </si>
  <si>
    <t>Monto del crédito ($)</t>
  </si>
  <si>
    <t xml:space="preserve">Dividendo 1, afectos a impto.finales </t>
  </si>
  <si>
    <t>con crédito por IDPC sujeto a restitución con D° dev.</t>
  </si>
  <si>
    <t xml:space="preserve">Dividendo 2, afecto a Imptos finales </t>
  </si>
  <si>
    <t>con crédito por IDPC NO sujeto a restitución con D° dev.</t>
  </si>
  <si>
    <t>Dividendo 3, afecto a imptos. finales</t>
  </si>
  <si>
    <t>con crédito por IDPC acumulado al 31.12.2016 con D° dev.</t>
  </si>
  <si>
    <t>sin crédito</t>
  </si>
  <si>
    <t>Compras netas  existencias 2020</t>
  </si>
  <si>
    <t>Compra neta camioneta de reparto usada</t>
  </si>
  <si>
    <t>Cotizaciones previsionales diciembre de 2019</t>
  </si>
  <si>
    <t>Retenciones Impuesto diciembre 2019</t>
  </si>
  <si>
    <t>Pago proveedores 2019</t>
  </si>
  <si>
    <t>Pago intereses y multas fiscales</t>
  </si>
  <si>
    <t>PPM pagados</t>
  </si>
  <si>
    <t>Retiros del ejercicio socios 1 y 2</t>
  </si>
  <si>
    <t>El CPT determinado al 31.12.2019 fue el siguiente:</t>
  </si>
  <si>
    <t>Total activo</t>
  </si>
  <si>
    <t>Pasivo exigible</t>
  </si>
  <si>
    <t>Rentas atribuidas propias (RAP)</t>
  </si>
  <si>
    <t>Saldo final al 31.12.2019</t>
  </si>
  <si>
    <t>Otros antecedentes</t>
  </si>
  <si>
    <t>Socio Sr. Ortiz</t>
  </si>
  <si>
    <t xml:space="preserve">Socio Sr. Escudero </t>
  </si>
  <si>
    <r>
      <t xml:space="preserve">De acuerdo a los registros contables y documentación de respaldo, los propietarios de la sociedad aportaron el capital social conforme al siguiente detalle, cuyos montos se presentan </t>
    </r>
    <r>
      <rPr>
        <b/>
        <u/>
        <sz val="10"/>
        <rFont val="Calibri"/>
        <family val="2"/>
        <scheme val="minor"/>
      </rPr>
      <t>reajustados al 31.12.2019</t>
    </r>
    <r>
      <rPr>
        <b/>
        <sz val="10"/>
        <rFont val="Calibri"/>
        <family val="2"/>
        <scheme val="minor"/>
      </rPr>
      <t>:</t>
    </r>
  </si>
  <si>
    <t>(+) Base imponible ejercicio  ……………………………………………………………………………………………………………………………………………………….</t>
  </si>
  <si>
    <t>Determinación incentivo al ahorro (art.14 letra E) LIR)</t>
  </si>
  <si>
    <t>(-) Pago IDPC AT.2020</t>
  </si>
  <si>
    <t xml:space="preserve">(-) Reverso RAI </t>
  </si>
  <si>
    <t>(+) RAI del ejercicio</t>
  </si>
  <si>
    <t>(+/-) REX percibidos</t>
  </si>
  <si>
    <t>(+) Crédito por IDPC sobre RLI</t>
  </si>
  <si>
    <t>Determinación registro RAI al 01.01.2020</t>
  </si>
  <si>
    <t>Percibido ($)</t>
  </si>
  <si>
    <t>No Percibido ($)</t>
  </si>
  <si>
    <t>Dividendo 5, Ingreso No Constitutivo de Renta</t>
  </si>
  <si>
    <t>Crédito otorgado por Banco</t>
  </si>
  <si>
    <t>Reajustado al 31.12.2019 ($)</t>
  </si>
  <si>
    <t>Interés por préstamo $</t>
  </si>
  <si>
    <t>Activo fijo (descontada la depreciación acumulada)</t>
  </si>
  <si>
    <t>Retiros actualizados al 31.12.2020:</t>
  </si>
  <si>
    <r>
      <t>PPM actualizado al 31.12.2020</t>
    </r>
    <r>
      <rPr>
        <sz val="10"/>
        <rFont val="Calibri"/>
        <family val="2"/>
        <scheme val="minor"/>
      </rPr>
      <t>:</t>
    </r>
  </si>
  <si>
    <t>Remuneraciones del ejercicio monto Bruto $</t>
  </si>
  <si>
    <t>Remuneraciones del ejercicio monto Bruto</t>
  </si>
  <si>
    <t>Interés por préstamo</t>
  </si>
  <si>
    <t>TOTAL EGRESOS DEL GIRO (1)</t>
  </si>
  <si>
    <t>TOTAL EGRESOS POR CAMBIO DE RÉGIMEN (2)</t>
  </si>
  <si>
    <t>TOTAL DE EGRESOS ANUALES [suma (1) y (2)]</t>
  </si>
  <si>
    <t>(+) Capital propio tributario al 31.12.2019 ..…………………………………………………………………...........................................................................................</t>
  </si>
  <si>
    <t>(-) Saldo registro REX positivo al 31-12-2019 …………………………………..........................................................................................................</t>
  </si>
  <si>
    <t>(+) Capital propio tributario simplificado al 31-12-2020 ……………………………………………….................................................................................</t>
  </si>
  <si>
    <t>(-) Saldo registro REX positivo antes de imputación …………………………………....................................................................................................</t>
  </si>
  <si>
    <t>(=)  Capital Propio Tributario Simplificado …………………………………………………………………………....................................</t>
  </si>
  <si>
    <t>Determinación capital propio tributario simplificado al 31.12.2020</t>
  </si>
  <si>
    <t>IDPC , tasa</t>
  </si>
  <si>
    <t>Ventas netas año 2020 a entidades relacionadas sujetas al régimen pro pyme (art. 14 letra D) N° 3)</t>
  </si>
  <si>
    <t>Ventas netas  año 2020 a entidades relacionadas sujetas al régimen de imputación parcial de créditos (art. 14 letra A))</t>
  </si>
  <si>
    <t>Art. 14 letra A)</t>
  </si>
  <si>
    <t>Art. 14 letra D) N°3</t>
  </si>
  <si>
    <t>Art. 14 letra D) N° 3</t>
  </si>
  <si>
    <t>Ventas netas año 2020 a entidades relacionadas sujetas al régimen de imputación parcial de créditos (art. 14 letra A))</t>
  </si>
  <si>
    <t>TOTAL GASTOS RECHAZADOS INCISO SEGUNDO DEL ARTÍCULO 21</t>
  </si>
  <si>
    <t>(+) Incentivo al ahorro art. 14 letra E) …………………………...…………………………………………………………………………………………………………………………………………………………………….</t>
  </si>
  <si>
    <t>Reajuste PPM Pagados</t>
  </si>
  <si>
    <t>Deducción incentivo al ahorro art. 14 letra E) LIR (cantidad menor entre 50% RLI Invertida o 5.000 UF)</t>
  </si>
  <si>
    <t>(+) Crédito por IDPC sobre dividendo percibido</t>
  </si>
  <si>
    <t>Subtotal antes de imputaciones………………………………………………….....</t>
  </si>
  <si>
    <r>
      <t>La sociedad  EC  &amp; GET Ltda., que hasta el 31.12.2019 estuvo sujeta al régimen de renta atribuida, a partir del 01.01.2020 se acogió  al régimen</t>
    </r>
    <r>
      <rPr>
        <b/>
        <sz val="10"/>
        <color theme="1"/>
        <rFont val="Calibri"/>
        <family val="2"/>
        <scheme val="minor"/>
      </rPr>
      <t xml:space="preserve"> Pro Pyme es</t>
    </r>
    <r>
      <rPr>
        <b/>
        <sz val="10"/>
        <rFont val="Calibri"/>
        <family val="2"/>
        <scheme val="minor"/>
      </rPr>
      <t xml:space="preserve">tablecido en el artículo 14  letra D) N° 3, optando por determinar su renta efectiva según contabilidad simplificada. </t>
    </r>
  </si>
  <si>
    <r>
      <t xml:space="preserve">TOTAL PPM PAGADO DEL EJERCICIO  </t>
    </r>
    <r>
      <rPr>
        <sz val="8"/>
        <rFont val="Calibri"/>
        <family val="2"/>
        <scheme val="minor"/>
      </rPr>
      <t>(3)</t>
    </r>
  </si>
  <si>
    <t>(-) Crédito IDPC  por gastos rechazados</t>
  </si>
  <si>
    <t>(1) La ley N° 21.256 reduce transitoriamente la tasa de IDPC para las empresas acogidas al régimen Pro Pyme contemplado en la letra D) del artículo 14, de 25% a 10%, por la rentas percibidas o devengadas que deban formar parte de su base imponible durante los ejercicio 2020, 2021 y 2022.</t>
  </si>
  <si>
    <r>
      <t xml:space="preserve">(+) Capital propio tributario </t>
    </r>
    <r>
      <rPr>
        <b/>
        <sz val="12"/>
        <rFont val="Calibri"/>
        <family val="2"/>
        <scheme val="minor"/>
      </rPr>
      <t xml:space="preserve">al 01.01.2020 </t>
    </r>
    <r>
      <rPr>
        <sz val="12"/>
        <rFont val="Calibri"/>
        <family val="2"/>
        <scheme val="minor"/>
      </rPr>
      <t>………………………………………………...…………………………………………………………………............</t>
    </r>
  </si>
  <si>
    <r>
      <t xml:space="preserve">(-) Retiros del ejercicio </t>
    </r>
    <r>
      <rPr>
        <b/>
        <sz val="12"/>
        <rFont val="Calibri"/>
        <family val="2"/>
        <scheme val="minor"/>
      </rPr>
      <t xml:space="preserve">históricos </t>
    </r>
    <r>
      <rPr>
        <sz val="12"/>
        <rFont val="Calibri"/>
        <family val="2"/>
        <scheme val="minor"/>
      </rPr>
      <t>.……………………………………………………………………………………………………………………………………………………….</t>
    </r>
  </si>
  <si>
    <r>
      <t xml:space="preserve">(-) Intereses y multas fiscales </t>
    </r>
    <r>
      <rPr>
        <b/>
        <sz val="12"/>
        <rFont val="Calibri"/>
        <family val="2"/>
        <scheme val="minor"/>
      </rPr>
      <t>históricos</t>
    </r>
    <r>
      <rPr>
        <sz val="12"/>
        <rFont val="Calibri"/>
        <family val="2"/>
        <scheme val="minor"/>
      </rPr>
      <t xml:space="preserve"> …………………………...…………………………………………………………………………………………………………………………………………………………………….</t>
    </r>
  </si>
  <si>
    <r>
      <t xml:space="preserve">(-) Pago IDPC AT 2020 </t>
    </r>
    <r>
      <rPr>
        <b/>
        <sz val="12"/>
        <rFont val="Calibri"/>
        <family val="2"/>
        <scheme val="minor"/>
      </rPr>
      <t>históricos</t>
    </r>
    <r>
      <rPr>
        <sz val="12"/>
        <rFont val="Calibri"/>
        <family val="2"/>
        <scheme val="minor"/>
      </rPr>
      <t xml:space="preserve"> …………………………...…………………………………………………………………………………………………………………………………………………………………….</t>
    </r>
  </si>
  <si>
    <r>
      <t xml:space="preserve">(+) Retiros del ejercicio </t>
    </r>
    <r>
      <rPr>
        <b/>
        <sz val="12"/>
        <color theme="1"/>
        <rFont val="Calibri"/>
        <family val="2"/>
        <scheme val="minor"/>
      </rPr>
      <t xml:space="preserve">históricos al 31-12-2020 </t>
    </r>
    <r>
      <rPr>
        <sz val="12"/>
        <color theme="1"/>
        <rFont val="Calibri"/>
        <family val="2"/>
        <scheme val="minor"/>
      </rPr>
      <t>………………………………………………………………………………………...............................................</t>
    </r>
  </si>
  <si>
    <r>
      <t xml:space="preserve">(- ) Capital social aportado reajustado </t>
    </r>
    <r>
      <rPr>
        <b/>
        <sz val="12"/>
        <color theme="1"/>
        <rFont val="Calibri"/>
        <family val="2"/>
        <scheme val="minor"/>
      </rPr>
      <t>al 31.12.2019</t>
    </r>
    <r>
      <rPr>
        <sz val="12"/>
        <color theme="1"/>
        <rFont val="Calibri"/>
        <family val="2"/>
        <scheme val="minor"/>
      </rPr>
      <t xml:space="preserve"> ……………………………………………………………………………………………………………………………………………….</t>
    </r>
  </si>
  <si>
    <t>VIPC anual 2020 para los siguientes meses:</t>
  </si>
  <si>
    <t>RLI del ejercicio 2019</t>
  </si>
  <si>
    <t>Retiros del ejercicio 2019</t>
  </si>
  <si>
    <t xml:space="preserve"> </t>
  </si>
  <si>
    <t>No Sujeto a Restitución</t>
  </si>
  <si>
    <t>+</t>
  </si>
  <si>
    <t>-</t>
  </si>
  <si>
    <t>=</t>
  </si>
  <si>
    <t>PERCIBIDO O PAGADO</t>
  </si>
  <si>
    <t>Ingresos percibidos</t>
  </si>
  <si>
    <t>Rentas de fuente extranjera percibidas</t>
  </si>
  <si>
    <t>Mayor valor percibido por rescate o enajenación de inversiones o bienes no depreciables</t>
  </si>
  <si>
    <t>Ingresos percibidos o devengados por operaciones con empresas relacionadas del art. 14 letra A) LIR</t>
  </si>
  <si>
    <t>Otros ingresos percibidos o devengados</t>
  </si>
  <si>
    <t>Gasto por saldo inicial de existencias o insumos del negocio en cambio de régimen, pagados</t>
  </si>
  <si>
    <t>Gasto por saldo inicial de activos fijos depreciables en cambio de régimen, pagados</t>
  </si>
  <si>
    <t>Gasto por pérdida tributaria en cambio de régimen</t>
  </si>
  <si>
    <t>Existencias o insumos del negocio, pagados</t>
  </si>
  <si>
    <t>Gastos de rentas de fuente extranjera, pagados</t>
  </si>
  <si>
    <t>Remuneraciones pagadas</t>
  </si>
  <si>
    <t>Honorarios pagados</t>
  </si>
  <si>
    <t>Adquisición de bienes del activo fijo, pagados</t>
  </si>
  <si>
    <t>Servicios pagados</t>
  </si>
  <si>
    <t>Arriendos pagados</t>
  </si>
  <si>
    <t>Intereses y reajustes pagados por préstamos y otros</t>
  </si>
  <si>
    <t>Amortización de intangibles, art. 22° transitorio bis, inc. 4°, 5° y 6° Ley N° 21.210</t>
  </si>
  <si>
    <t>Partidas del art. 21 inciso 1° y 3° LIR pagados</t>
  </si>
  <si>
    <t>Partidas del art. 21 inc. 1° no afectados con IU 40% y del inc. 2° LIR pagados</t>
  </si>
  <si>
    <t>Pérdida en rescate o enajenación de inversiones o bienes no depreciables</t>
  </si>
  <si>
    <t>Otros gastos deducibles de los ingresos</t>
  </si>
  <si>
    <t>Gastos o egresos pagados o adeudados por operaciones con empresas relacionadas del art. 14 letra A) LIR</t>
  </si>
  <si>
    <t>Pérdidas tributarias de ejercicios anteriores</t>
  </si>
  <si>
    <t>Créditos incobrables castigados en el ejercicio (reconocidos sobre ingresos devengados)</t>
  </si>
  <si>
    <t>Gastos aceptados por donaciones</t>
  </si>
  <si>
    <t>Incentivo al ahorro según art. 14 letra E) LIR</t>
  </si>
  <si>
    <t>Base Imponible afecta a IDPC (o pérdida tributaria antes de imputar dividendos o retiros percibidos) del ejercicio</t>
  </si>
  <si>
    <t>IMPUTACIONES A LA PÉRDIDA TRIBUTARIA DEL EJERCICIO</t>
  </si>
  <si>
    <t xml:space="preserve">Pérdida tributaria del ejercicio al 31 de diciembre </t>
  </si>
  <si>
    <t>Saldo negativo del registro REX al término del ejercicio</t>
  </si>
  <si>
    <t>Subtotal</t>
  </si>
  <si>
    <t>Saldo positivo del registro REX al término del ejercicio, antes de imputaciones</t>
  </si>
  <si>
    <t>Saldo FUR  (cuando no haya sido considerado dentro del valor del capital aportado a la empresa)</t>
  </si>
  <si>
    <t>CPT positivo inicial</t>
  </si>
  <si>
    <t>CPT negativo inicial</t>
  </si>
  <si>
    <t>Aumentos (efectivos) de capital del ejercicio</t>
  </si>
  <si>
    <t>Disminuciones (efectivas) de capital del ejercicio</t>
  </si>
  <si>
    <t>Base imponible afecta a IDPC del ejercicio</t>
  </si>
  <si>
    <t>Rentas exentas e ingresos no renta (positivo), generados por la empresa en el ejercicio</t>
  </si>
  <si>
    <t>Pérdida por rentas exentas e ingresos no renta del ejercicio</t>
  </si>
  <si>
    <t>Retiros o dividendos percibidos en el ejercicio por participaciones en otras empresas</t>
  </si>
  <si>
    <t>Utilidades percibidas afectas a impuestos finales imputadas a la pérdida tributaria del ejercicio</t>
  </si>
  <si>
    <t>Crédito total disponible imputable contra impuestos finales (IPE), del ejercicio</t>
  </si>
  <si>
    <t>Base del IDPC voluntario según art. 14 letra A) N° 6 LIR</t>
  </si>
  <si>
    <t>Otras partidas a agregar</t>
  </si>
  <si>
    <t>Otras partidas a deducir</t>
  </si>
  <si>
    <t>RENTAS CON TRIBUTACIÓN CUMPLIDA</t>
  </si>
  <si>
    <t>RENTAS EXENTAS</t>
  </si>
  <si>
    <t>INR</t>
  </si>
  <si>
    <t>ISFUT</t>
  </si>
  <si>
    <t>OTRAS</t>
  </si>
  <si>
    <t>Aumentos del ejercicio (por reorganizaciones)</t>
  </si>
  <si>
    <t>Disminuciones del ejercicio (por reorganizaciones)</t>
  </si>
  <si>
    <t>Aumentos del ejercicio (propios)</t>
  </si>
  <si>
    <t>Otros aumentos del ejercicio</t>
  </si>
  <si>
    <t>Otras disminuciones del ejercicio</t>
  </si>
  <si>
    <t>Remanente ejercicio siguiente (saldo positivo)</t>
  </si>
  <si>
    <t>Remanente ejercicio siguiente (saldo negativo)</t>
  </si>
  <si>
    <t>Acumulados a contar desde el 01.01.2017</t>
  </si>
  <si>
    <t>Acumulados hasta el 31.12.2016</t>
  </si>
  <si>
    <t>Sujeto a Restitución</t>
  </si>
  <si>
    <t>IPE</t>
  </si>
  <si>
    <t>Sin D° Devolución</t>
  </si>
  <si>
    <t>Con D° Devolución</t>
  </si>
  <si>
    <t xml:space="preserve">Remanente ejercicio siguiente (saldo negativo) </t>
  </si>
  <si>
    <t>Gerardo Arturo Escudero Toledo</t>
  </si>
  <si>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</si>
  <si>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</si>
  <si>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Sección A: IDENTIFICACIÓN DEL DECLARANTE</t>
  </si>
  <si>
    <t>FOLIO</t>
  </si>
  <si>
    <t>ROL ÚNICO TRIBUTARIO</t>
  </si>
  <si>
    <t>NOMBRE O RAZÓN SOCIAL</t>
  </si>
  <si>
    <t xml:space="preserve">DOMICILIO </t>
  </si>
  <si>
    <t>COMUNA</t>
  </si>
  <si>
    <t xml:space="preserve">CORREO ELECTRÓNICO </t>
  </si>
  <si>
    <t>TELÉFONO</t>
  </si>
  <si>
    <t xml:space="preserve">Sección B: </t>
  </si>
  <si>
    <t>ANTECEDENTES DE LOS INFORMADOS (Receptor de los retiros, remesas o dividendos. Persona natural o jurídica)</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</si>
  <si>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</si>
  <si>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</si>
  <si>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</si>
  <si>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</si>
  <si>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</si>
  <si>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CRÉDITOS PARA IMPUESTO GLOBAL COMPLEMENTARIO O ADICIONAL</t>
  </si>
  <si>
    <t>Devolución de capital Art.17 N° 7 LIR.</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</si>
  <si>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</si>
  <si>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</si>
  <si>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</si>
  <si>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</si>
  <si>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</si>
  <si>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</si>
  <si>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</si>
  <si>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</si>
  <si>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</si>
  <si>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</si>
  <si>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r>
      <t>Asociados a Rentas Exentas</t>
    </r>
    <r>
      <rPr>
        <b/>
        <sz val="11"/>
        <color theme="1"/>
        <rFont val="Calibri"/>
        <family val="2"/>
      </rPr>
      <t xml:space="preserve"> </t>
    </r>
    <r>
      <rPr>
        <sz val="11"/>
        <color theme="1"/>
        <rFont val="Calibri"/>
        <family val="2"/>
      </rPr>
      <t>(artículo 11, Ley 18.401)</t>
    </r>
  </si>
  <si>
    <r>
      <rPr>
        <sz val="11"/>
        <color theme="1"/>
        <rFont val="Calibri"/>
        <family val="2"/>
      </rPr>
      <t>Crédito por IPE</t>
    </r>
    <r>
      <rPr>
        <sz val="11"/>
        <color rgb="FFFF0000"/>
        <rFont val="Calibri"/>
        <family val="2"/>
      </rPr>
      <t xml:space="preserve"> </t>
    </r>
  </si>
  <si>
    <t xml:space="preserve">Crédito por IPE </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</si>
  <si>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</si>
  <si>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</si>
  <si>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</si>
  <si>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</si>
  <si>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</si>
  <si>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</si>
  <si>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</si>
  <si>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</si>
  <si>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No Sujetos a Restitución generados a contar del 01.01.2020</t>
  </si>
  <si>
    <t>Sin derecho a devolución</t>
  </si>
  <si>
    <t>Con derecho a devolución</t>
  </si>
  <si>
    <t>GERARDO ARTURO ESCUDERO TOLEDO</t>
  </si>
  <si>
    <t>Con crédito por IDPC generados a contar del 01.01.2017</t>
  </si>
  <si>
    <t>Con crédito por IDPC acumulados  hasta el 31.12.2016</t>
  </si>
  <si>
    <t>Con  derecho a crédito por pago de IDPC voluntario</t>
  </si>
  <si>
    <t>Sin derecho a crédito</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</si>
  <si>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</si>
  <si>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</si>
  <si>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</si>
  <si>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</si>
  <si>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</si>
  <si>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</si>
  <si>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</si>
  <si>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</si>
  <si>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</si>
  <si>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</si>
  <si>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</si>
  <si>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</si>
  <si>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</si>
  <si>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</si>
  <si>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</si>
  <si>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</si>
  <si>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</si>
  <si>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</si>
  <si>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</si>
  <si>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</si>
  <si>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</si>
  <si>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</si>
  <si>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</si>
  <si>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</si>
  <si>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</si>
  <si>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</si>
  <si>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</si>
  <si>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</si>
  <si>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</si>
  <si>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</si>
  <si>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</si>
  <si>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</si>
  <si>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</si>
  <si>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 xml:space="preserve">Sección C: </t>
  </si>
  <si>
    <t>ANTECEDENTES DE RETIROS EN EXCESO (Detalle de saldos pendientes de imputación)</t>
  </si>
  <si>
    <t>RUT del beneficiario del retiro (titular o cesionario)</t>
  </si>
  <si>
    <t xml:space="preserve">Montos de retiros en exceso, reajustados ($)
</t>
  </si>
  <si>
    <t>C34</t>
  </si>
  <si>
    <t>C35</t>
  </si>
  <si>
    <t>CUADRO RESUMEN FINAL DE LA DECLARACION</t>
  </si>
  <si>
    <t xml:space="preserve">Total de casos Informados </t>
  </si>
  <si>
    <t>Exentos de impuesto global complementario (IGC) y/o impuesto adicional (IA)</t>
  </si>
  <si>
    <t>Asociados a Rentas Exentas (artículo 11, Ley 18.401)</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</si>
  <si>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</si>
  <si>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</si>
  <si>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</si>
  <si>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</si>
  <si>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</si>
  <si>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</si>
  <si>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</si>
  <si>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</si>
  <si>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</si>
  <si>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</si>
  <si>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</si>
  <si>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</si>
  <si>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</si>
  <si>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</si>
  <si>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</si>
  <si>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</si>
  <si>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</si>
  <si>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</si>
  <si>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</si>
  <si>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</si>
  <si>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</si>
  <si>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</si>
  <si>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</si>
  <si>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</si>
  <si>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</si>
  <si>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</si>
  <si>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</si>
  <si>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</si>
  <si>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</si>
  <si>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</si>
  <si>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</si>
  <si>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DECLARO BAJO JURAMENTO QUE LOS DATOS CONTENIDOS EN EL PRESENTE DOCUMENTO SON LA EXPRESION FIEL DE LA VERDAD, POR LO QUE ASUMO LA RESPONSABILIDAD CORRESPONDIENTE</t>
  </si>
  <si>
    <t>RUT REPRESENTANTE LEGAL</t>
  </si>
  <si>
    <t xml:space="preserve"> RUT DEL RESPONSABLE DE LA CONFECCIÓN DEL REGISTRO</t>
  </si>
  <si>
    <t>RENTA</t>
  </si>
  <si>
    <t>TOTAL Históricos ($)</t>
  </si>
  <si>
    <t>CRÉDITOS</t>
  </si>
  <si>
    <t>No Sujeto a Restitución Con D° Devolución</t>
  </si>
  <si>
    <t>TOTAL Actualizados ($)</t>
  </si>
  <si>
    <t>MONTOS HISTÓRICOS</t>
  </si>
  <si>
    <t>MONTOS ACTUALIZADOS</t>
  </si>
  <si>
    <t>18.000.000-0</t>
  </si>
  <si>
    <t>17.500.000-0</t>
  </si>
  <si>
    <t xml:space="preserve">La sociedad  EC  &amp; GET Ltda., </t>
  </si>
  <si>
    <t>20-5</t>
  </si>
  <si>
    <t>Nombre o Razon Social</t>
  </si>
  <si>
    <t>RUT N°</t>
  </si>
  <si>
    <t>CERTIFICADO N°:</t>
  </si>
  <si>
    <t>Dirección</t>
  </si>
  <si>
    <t>Ciudad y Fecha:</t>
  </si>
  <si>
    <t xml:space="preserve">Giro o Actividad </t>
  </si>
  <si>
    <t>CERTIFICADO N° 70</t>
  </si>
  <si>
    <t xml:space="preserve">SOBRE SITUACION TRIBUTARIA DE RETIROS, REMESAS Y/O DIVIDENDOS DISTRIBUIDOS Y CRÉDITOS CORRESPONDIENTES EFECTUADOS POR CONTRIBUYENTES SUJETOS AL RÉGIMEN DE LA LETRA A) O AL RÉGIMEN DEL NUMERO 3 DE LA LETRA D) DEL ARTÍCULO 14 DE LA LIR.  </t>
  </si>
  <si>
    <t xml:space="preserve">FECHA DEL 
RETIRO, 
REMESA Y/O 
DIVIDENDOS 
DISTRIBUIDOS
</t>
  </si>
  <si>
    <t>DIVIDENDO N°</t>
  </si>
  <si>
    <t>RUT DEL PLENO PROPIETARIO  O USUFRUCTUARIO  RECEPTOR DEL RETIRO, REMESA Y/O DIVIDENDO DISTRIBUIDO</t>
  </si>
  <si>
    <t>USUFRUCTUARIO O NUDO PROPIETARIO DE LA ACCIÓN O DERECHO SOCIAL</t>
  </si>
  <si>
    <t>MONTO HISTÓRICO</t>
  </si>
  <si>
    <t>FACTOR ACTUALIZACIÓN</t>
  </si>
  <si>
    <t>MONTOS DE DIVIDENDOS REAJUSTADOS ($)</t>
  </si>
  <si>
    <t>TASA EFECTIVA DEL CRÉDITO DEL FUT (TEF)</t>
  </si>
  <si>
    <t>TASA EFECTIVA DEL CRÉDITO DEL FUNT (TEX)</t>
  </si>
  <si>
    <t>DEVOLUCION DE CAPITAL ART.17 N° 7 LIR.</t>
  </si>
  <si>
    <t>MONTO ACTUALIZADO</t>
  </si>
  <si>
    <t>MONTO AFECTO A IMPUESTO  GLOBAL COMPLEMENTARIO Y/O  IMPUESTO ADICIONAL</t>
  </si>
  <si>
    <t>RENTAS EXENTAS E INGRESOS NO CONSTITUTIVOS DE RENTA (REX)</t>
  </si>
  <si>
    <t>ACUMULADOS A CONTAR DEL  01.01.2017</t>
  </si>
  <si>
    <t>ACUMULADOS HASTA EL 31.12.2016</t>
  </si>
  <si>
    <t>CRÉDITO POR IMPUESTO TASA ADICIONAL, EX ART. 21 LIR.</t>
  </si>
  <si>
    <t xml:space="preserve">RENTAS EXENTAS   </t>
  </si>
  <si>
    <t>INGRESOS NO CONSTITUTIVOS DE RENTA</t>
  </si>
  <si>
    <t>ASOCIADOS A RENTAS AFECTAS</t>
  </si>
  <si>
    <t>ASOCIADOS A RENTAS EXENTAS 
(artículo 11, Ley 18.401)</t>
  </si>
  <si>
    <t>CRÉDITO POR IPE</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</si>
  <si>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</si>
  <si>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</si>
  <si>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</si>
  <si>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</si>
  <si>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</si>
  <si>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</si>
  <si>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</si>
  <si>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 xml:space="preserve">NO SUJETOS A RESTITUCIÓN GENERADOS HASTA EL 31.12.2019 </t>
  </si>
  <si>
    <t xml:space="preserve">NO SUJETOS A RESTITUCIÓN GENERADOS A CONTAR DEL 01.01.2020 </t>
  </si>
  <si>
    <t>SUJETOS A RESTITUCIÓN</t>
  </si>
  <si>
    <t>SIN DERECHO A DEVOLUCIÓN</t>
  </si>
  <si>
    <t>CON DERECHO A DEVOLUCIÓN</t>
  </si>
  <si>
    <t>CON CRÉDITO POR IDPC GENERADOS A CONTAR DEL 01.01.2017</t>
  </si>
  <si>
    <t>CON CRÉDITO POR IDPC  ACUMULADOS  HASTA EL 31.12.2016</t>
  </si>
  <si>
    <t>CON DERECHO A CRÉDITO POR PAGO DE IDPC VOLUNTARIO</t>
  </si>
  <si>
    <t>SIN DERECHO A CRÉDITO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</si>
  <si>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</si>
  <si>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</si>
  <si>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</si>
  <si>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</si>
  <si>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</si>
  <si>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</si>
  <si>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</si>
  <si>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</si>
  <si>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</si>
  <si>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</si>
  <si>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</si>
  <si>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</si>
  <si>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</si>
  <si>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</si>
  <si>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</si>
  <si>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</si>
  <si>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</si>
  <si>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</si>
  <si>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</si>
  <si>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</si>
  <si>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</si>
  <si>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</si>
  <si>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</si>
  <si>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</si>
  <si>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</si>
  <si>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</si>
  <si>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</si>
  <si>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</si>
  <si>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</si>
  <si>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</si>
  <si>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</si>
  <si>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</si>
  <si>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</si>
  <si>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</si>
  <si>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</si>
  <si>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</si>
  <si>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</si>
  <si>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t>
  </si>
  <si>
    <t xml:space="preserve">
Se extiende el presente certificado en cumplimiento de lo dispuesto en la Resolución Ex. N°98 de 2020 del Servicio de Impuestos Internos y sus modificaciones posteriores.
</t>
  </si>
  <si>
    <t>Declaro bajo juramento que los datos contenidos en el presente documento son la expresión fiel de la verdad, por lo que asumo la reponsabilidad correspondiente</t>
  </si>
  <si>
    <t>Nombre, N° RUT y Firma del Representante Legal</t>
  </si>
  <si>
    <t>Teatinos 120</t>
  </si>
  <si>
    <t xml:space="preserve">Servicio </t>
  </si>
  <si>
    <r>
      <t xml:space="preserve">Se certifica que al titular  </t>
    </r>
    <r>
      <rPr>
        <sz val="11"/>
        <color rgb="FF0000FF"/>
        <rFont val="Calibri"/>
        <family val="2"/>
        <scheme val="minor"/>
      </rPr>
      <t xml:space="preserve">Luis Ortiz </t>
    </r>
    <r>
      <rPr>
        <sz val="11"/>
        <color theme="1"/>
        <rFont val="Calibri"/>
        <family val="2"/>
        <scheme val="minor"/>
      </rPr>
      <t xml:space="preserve">RUT N° </t>
    </r>
    <r>
      <rPr>
        <sz val="11"/>
        <color rgb="FF0000FF"/>
        <rFont val="Calibri"/>
        <family val="2"/>
        <scheme val="minor"/>
      </rPr>
      <t>18.000.000-0</t>
    </r>
    <r>
      <rPr>
        <sz val="11"/>
        <color theme="1"/>
        <rFont val="Calibri"/>
        <family val="2"/>
        <scheme val="minor"/>
      </rPr>
      <t>., por el año comercial  2</t>
    </r>
    <r>
      <rPr>
        <sz val="11"/>
        <color rgb="FF0000FF"/>
        <rFont val="Calibri"/>
        <family val="2"/>
        <scheme val="minor"/>
      </rPr>
      <t>020</t>
    </r>
    <r>
      <rPr>
        <sz val="11"/>
        <color theme="1"/>
        <rFont val="Calibri"/>
        <family val="2"/>
        <scheme val="minor"/>
      </rPr>
      <t xml:space="preserve">, le corresponden los retiros, remesas y/o dividendos y créditos que más adelante se indican, los cuales para los efectos de su declaración en los impuestos anuales a la renta que le afectan por el Año Tributario 2XXX, presentan la siguiente situación tributaria: 
</t>
    </r>
  </si>
  <si>
    <t>Para el año comercial 2020 la sociedad presenta los siguientes movimientos que forman parte del registro caja:</t>
  </si>
  <si>
    <t>Anual</t>
  </si>
  <si>
    <t xml:space="preserve">Dividendo 4, afecto a imptos. finales </t>
  </si>
  <si>
    <t>(=) RLI Invertida …………………………………………………………………………………………………………………………………………..........</t>
  </si>
  <si>
    <t>Remanente ejercicio anterior histórico……………………………………………………..........</t>
  </si>
  <si>
    <t>DETERMINACIÓN BASE IMPONIBLE DE PRIMERA CATEGORÍA, RÉGIMEN PRO PYME (ART. 14 LETRA D) N° 3 LIR)</t>
  </si>
  <si>
    <t>Determinación base imponible de Primera Categoría al 31.12.2020</t>
  </si>
  <si>
    <t>Valor UF al 31.12.2020 (supuesto)</t>
  </si>
  <si>
    <t>Deducción incentivo al ahorro art. 14 letra E) (Tope 5.000 UF = $145.000.000.-)</t>
  </si>
  <si>
    <t>Registros Tributario de Rentas Empresariales al 31.12.2020 artículo 14 letra D) N° 3 LIR (RTRE)</t>
  </si>
  <si>
    <t>(-)  Retiros del ejercicio y crédito por IDPC</t>
  </si>
  <si>
    <t>(2) Circular 11 de 2021, referente a la Ley N°21.256/2020.</t>
  </si>
  <si>
    <t>Intereses y reajustes percibidos por préstamos y otros</t>
  </si>
  <si>
    <t>Total de ingresos anuales</t>
  </si>
  <si>
    <t>Gastos por exigencias medio ambientales, pagados</t>
  </si>
  <si>
    <t>Gastos por inversión privada en investigación y desarrollo no certificados por CORFO</t>
  </si>
  <si>
    <t>Gastos por inversión privada en investigación y desarrollo certificados por CORFO</t>
  </si>
  <si>
    <t>Total de egresos anuales</t>
  </si>
  <si>
    <t>Partidas del inc. 1° no afectas al IU de tasa 40% y del inc. 2° del art. 21 LIR (históricos), incluidos en el total de egresos</t>
  </si>
  <si>
    <t>Base imponible antes de rebaja por incentivo al ahorro (art. 14 letra E) LIR) y/o por pago de IDPC voluntario (art. 14 letra A) N°6 LIR y art. 42° transitorio Ley N° 21.210) o pérdida tributaria</t>
  </si>
  <si>
    <t>Base del IDPC voluntario según  art. 14 letra A) N°  6 LIR y art. 42° transitorio Ley N° 21.210</t>
  </si>
  <si>
    <t>Dividendos o retiros percibidos afectos a impuestos finales, que absorben la pérdida tributaria</t>
  </si>
  <si>
    <t>Incremento por IDPC de los dividendos o retiros percibidos afectos a impuestos finales, que absorben la pérdida tributaria</t>
  </si>
  <si>
    <t>Crédito sobre activos fijos adquiridos en el ejercicio (art. 33 bis LIR)</t>
  </si>
  <si>
    <t>Ingreso diferido imputado en el ejercicio, debidamente incrementado y reajustado, cuando corresponda</t>
  </si>
  <si>
    <t>RECUADRO N° 17: BASE IMPONIBLE RÉGIMEN PRO PYME (ART. 14 LETRA D) N° 3 LIR)</t>
  </si>
  <si>
    <t>RECUADRO Nº 18: DETERMINACION DEL RAI (ART. 14 LETRA D) N° 3 LIR)</t>
  </si>
  <si>
    <t>CPTS positivo</t>
  </si>
  <si>
    <t xml:space="preserve">CPTS negativo </t>
  </si>
  <si>
    <t>Remesas, retiros o dividendos repartidos el ejercicio, históricos</t>
  </si>
  <si>
    <t>Capital aportado, histórico (incluye aumentos y disminuciones efectivas)</t>
  </si>
  <si>
    <t>Sobreprecio obtenido en la colocación de acciones de propia emisión, histórico</t>
  </si>
  <si>
    <t xml:space="preserve">Rentas afectas a IGC o IA (RAI) del ejercicio </t>
  </si>
  <si>
    <t>RECUADRO N° 19: CPTS RÉGIMEN PRO PYME 
(ART. 14 LETRA D) N° 3 LIR)</t>
  </si>
  <si>
    <t>Capital aportado empresas que inician actividades</t>
  </si>
  <si>
    <t>Partidas del inciso primero no afectas al IU de tasa 40% y del inciso segundodel art. 21 LIR</t>
  </si>
  <si>
    <t>CPTS negativo</t>
  </si>
  <si>
    <t>Remesas, retiros o dividendos repartidos en el ejercicio</t>
  </si>
  <si>
    <t>RECUADRO N° 20: REGISTRO TRIBUTARIO DE RENTAS EMPRESARIALES Y MOVIMIENTO STUT (ART. 14 LETRA D) N° 3 LIR)</t>
  </si>
  <si>
    <t>RAP Y DIFERENCIA INICIAL EX ART. 14 TER A) LIR</t>
  </si>
  <si>
    <t>Remanente ejercicio anterior o saldo inicial (saldo positivo)</t>
  </si>
  <si>
    <t xml:space="preserve">Remanente ejercicio anterior o saldo inicial (saldo negativo) </t>
  </si>
  <si>
    <t>Monto imputado al IS art. 25° transitorio Ley N°21.210</t>
  </si>
  <si>
    <t>Reversos y/o disminuciones del ejercicio (propios)</t>
  </si>
  <si>
    <t>Retiros en exceso y devoluciones de capital imputados en el ejercicio</t>
  </si>
  <si>
    <t>Retiros, dividendos o remesas imputados a los RTRE</t>
  </si>
  <si>
    <t>RECUADRO N° 21: REGISTRO SAC 
(ART. 14 LETRA D) N° 3 LIR)</t>
  </si>
  <si>
    <t>Asignado a Retiros en exceso y devoluciones de capital  efectuados en el ejercicio</t>
  </si>
  <si>
    <t>IDPC e IPE asignado a gastos rechazados del art. 21 inc. 1° no afectos a IU 40% y del inciso 2° LIR</t>
  </si>
  <si>
    <t>Asignado a remesas, retiros o dividendos efectuados en el ejercicio</t>
  </si>
  <si>
    <t>IDPC e IPE base imponible generada en el ejercicio</t>
  </si>
  <si>
    <r>
      <t>IDPC e IPE retiros o dividendos</t>
    </r>
    <r>
      <rPr>
        <sz val="12"/>
        <rFont val="Calibri"/>
        <family val="2"/>
        <scheme val="minor"/>
      </rPr>
      <t xml:space="preserve"> percibidos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</si>
</sst>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quot;$&quot;\-#,##0.00"/>
    <numFmt numFmtId="42" formatCode="_ &quot;$&quot;* #,##0_ ;_ &quot;$&quot;* \-#,##0_ ;_ &quot;$&quot;* &quot;-&quot;_ ;_ @_ "/>
    <numFmt numFmtId="44" formatCode="_ &quot;$&quot;* #,##0.00_ ;_ &quot;$&quot;* \-#,##0.00_ ;_ &quot;$&quot;* &quot;-&quot;??_ ;_ @_ "/>
    <numFmt numFmtId="43" formatCode="_ * #,##0.00_ ;_ * \-#,##0.00_ ;_ * &quot;-&quot;??_ ;_ @_ "/>
    <numFmt numFmtId="164" formatCode="#,##0;\(#,##0\)"/>
    <numFmt numFmtId="165" formatCode="#,##0.000000"/>
    <numFmt numFmtId="166" formatCode="_-* #,##0\ _$_-;\-* #,##0\ _$_-;_-* &quot;-&quot;??\ _$_-;_-@_-"/>
    <numFmt numFmtId="167" formatCode="_-* #,##0.000000\ _$_-;\-* #,##0.000000\ _$_-;_-* &quot;-&quot;??\ _$_-;_-@_-"/>
    <numFmt numFmtId="168" formatCode="#,##0.000_ ;\-#,##0.000\ "/>
    <numFmt numFmtId="169" formatCode="&quot;$&quot;\ #,##0"/>
    <numFmt numFmtId="170" formatCode="0.0%"/>
    <numFmt numFmtId="171" formatCode="#,##0.00000"/>
    <numFmt numFmtId="172" formatCode="_-* #,##0.00\ _$_-;\-* #,##0.00\ _$_-;_-* &quot;-&quot;??\ _$_-;_-@_-"/>
    <numFmt numFmtId="173" formatCode="#,##0.000"/>
    <numFmt numFmtId="174" formatCode="_-&quot;$&quot;\ * #,##0_-;\-&quot;$&quot;\ * #,##0_-;_-&quot;$&quot;\ * &quot;-&quot;??_-;_-@_-"/>
    <numFmt numFmtId="175" formatCode="#,##0_ ;\-#,##0\ "/>
    <numFmt numFmtId="176" formatCode="&quot;$&quot;#,##0;[Red]&quot;$&quot;\(#,##0\)"/>
    <numFmt numFmtId="177" formatCode="#,##0.000000;\(#,##0.000000\)"/>
    <numFmt numFmtId="178" formatCode="_ &quot;$&quot;* #,##0.000000_ ;_ &quot;$&quot;* \-#,##0.000000_ ;_ &quot;$&quot;* &quot;-&quot;_ ;_ @_ "/>
    <numFmt numFmtId="179" formatCode="dd/mm/yyyy;@"/>
    <numFmt numFmtId="180" formatCode="_ &quot;$&quot;* #,##0.00_ ;_ &quot;$&quot;* \-#,##0.00_ ;_ &quot;$&quot;* &quot;-&quot;_ ;_ @_ "/>
  </numFmts>
  <fonts count="61" x14ac:knownFonts="1">
    <font>
      <sz val="11"/>
      <color theme="1"/>
      <name val="Calibri"/>
      <family val="2"/>
      <scheme val="minor"/>
    </font>
    <font>
      <sz val="10"/>
      <name val="Arial"/>
      <family val="2"/>
    </font>
    <font>
      <b/>
      <sz val="10"/>
      <name val="Calibri"/>
      <family val="2"/>
      <scheme val="minor"/>
    </font>
    <font>
      <sz val="10"/>
      <name val="Calibri"/>
      <family val="2"/>
      <scheme val="minor"/>
    </font>
    <font>
      <b/>
      <sz val="12"/>
      <name val="Calibri"/>
      <family val="2"/>
      <scheme val="minor"/>
    </font>
    <font>
      <b/>
      <sz val="14"/>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9"/>
      <name val="Calibri"/>
      <family val="2"/>
      <scheme val="minor"/>
    </font>
    <font>
      <b/>
      <u/>
      <sz val="10"/>
      <name val="Calibri"/>
      <family val="2"/>
      <scheme val="minor"/>
    </font>
    <font>
      <b/>
      <sz val="10"/>
      <color theme="1"/>
      <name val="Calibri"/>
      <family val="2"/>
      <scheme val="minor"/>
    </font>
    <font>
      <b/>
      <sz val="14"/>
      <color rgb="FF0000FF"/>
      <name val="Calibri"/>
      <family val="2"/>
      <scheme val="minor"/>
    </font>
    <font>
      <b/>
      <sz val="9"/>
      <name val="Calibri"/>
      <family val="2"/>
      <scheme val="minor"/>
    </font>
    <font>
      <b/>
      <sz val="11"/>
      <name val="Calibri"/>
      <family val="2"/>
      <scheme val="minor"/>
    </font>
    <font>
      <b/>
      <sz val="11"/>
      <color rgb="FF0000FF"/>
      <name val="Calibri"/>
      <family val="2"/>
      <scheme val="minor"/>
    </font>
    <font>
      <sz val="9"/>
      <color rgb="FFFF000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sz val="10"/>
      <name val="Times New Roman"/>
      <family val="1"/>
    </font>
    <font>
      <b/>
      <sz val="14"/>
      <color rgb="FFFF0000"/>
      <name val="Calibri"/>
      <family val="2"/>
      <scheme val="minor"/>
    </font>
    <font>
      <sz val="11"/>
      <name val="Calibri"/>
      <family val="2"/>
      <scheme val="minor"/>
    </font>
    <font>
      <b/>
      <sz val="10"/>
      <name val="Arial"/>
      <family val="2"/>
    </font>
    <font>
      <sz val="8"/>
      <name val="Calibri"/>
      <family val="2"/>
      <scheme val="minor"/>
    </font>
    <font>
      <b/>
      <sz val="13"/>
      <color theme="1"/>
      <name val="Calibri"/>
      <family val="2"/>
      <scheme val="minor"/>
    </font>
    <font>
      <sz val="10"/>
      <color rgb="FF00B050"/>
      <name val="Calibri"/>
      <family val="2"/>
      <scheme val="minor"/>
    </font>
    <font>
      <sz val="11"/>
      <color rgb="FF00B050"/>
      <name val="Calibri"/>
      <family val="2"/>
      <scheme val="minor"/>
    </font>
    <font>
      <sz val="12"/>
      <name val="Calibri"/>
      <family val="2"/>
      <scheme val="minor"/>
    </font>
    <font>
      <b/>
      <sz val="12"/>
      <color rgb="FFFF0000"/>
      <name val="Calibri"/>
      <family val="2"/>
      <scheme val="minor"/>
    </font>
    <font>
      <sz val="11"/>
      <color rgb="FFFF0000"/>
      <name val="Calibri"/>
      <family val="2"/>
      <scheme val="minor"/>
    </font>
    <font>
      <sz val="7"/>
      <name val="Verdana"/>
      <family val="2"/>
    </font>
    <font>
      <sz val="12"/>
      <color theme="0"/>
      <name val="Calibri"/>
      <family val="2"/>
      <scheme val="minor"/>
    </font>
    <font>
      <sz val="11"/>
      <name val="Calibri"/>
      <family val="2"/>
    </font>
    <font>
      <b/>
      <sz val="14"/>
      <color rgb="FFFF0000"/>
      <name val="Calibri"/>
      <family val="2"/>
    </font>
    <font>
      <b/>
      <sz val="14"/>
      <color rgb="FF0000FF"/>
      <name val="Calibri"/>
      <family val="2"/>
    </font>
    <font>
      <sz val="16"/>
      <name val="Calibri"/>
      <family val="2"/>
    </font>
    <font>
      <sz val="14"/>
      <color theme="1"/>
      <name val="Arial"/>
      <family val="2"/>
    </font>
    <font>
      <sz val="11"/>
      <color theme="1"/>
      <name val="Calibri"/>
      <family val="2"/>
    </font>
    <font>
      <sz val="12"/>
      <name val="Arial"/>
      <family val="2"/>
    </font>
    <font>
      <b/>
      <sz val="11"/>
      <color theme="1"/>
      <name val="Calibri"/>
      <family val="2"/>
    </font>
    <font>
      <sz val="11"/>
      <color rgb="FFFF0000"/>
      <name val="Calibri"/>
      <family val="2"/>
    </font>
    <font>
      <u/>
      <sz val="10"/>
      <name val="Arial"/>
      <family val="2"/>
    </font>
    <font>
      <sz val="8"/>
      <name val="Arial"/>
      <family val="2"/>
    </font>
    <font>
      <b/>
      <sz val="11"/>
      <name val="Calibri"/>
      <family val="2"/>
    </font>
    <font>
      <sz val="11"/>
      <color rgb="FF0000FF"/>
      <name val="Calibri"/>
      <family val="2"/>
    </font>
    <font>
      <b/>
      <sz val="11"/>
      <color rgb="FF0000FF"/>
      <name val="Calibri"/>
      <family val="2"/>
    </font>
    <font>
      <u/>
      <sz val="11"/>
      <name val="Calibri"/>
      <family val="2"/>
      <scheme val="minor"/>
    </font>
    <font>
      <sz val="12"/>
      <color theme="1"/>
      <name val="Arial"/>
      <family val="2"/>
    </font>
    <font>
      <sz val="10"/>
      <color theme="1"/>
      <name val="Arial"/>
      <family val="2"/>
    </font>
    <font>
      <b/>
      <sz val="16"/>
      <color theme="1"/>
      <name val="Calibri"/>
      <family val="2"/>
      <scheme val="minor"/>
    </font>
    <font>
      <sz val="11"/>
      <color rgb="FF0000FF"/>
      <name val="Calibri"/>
      <family val="2"/>
      <scheme val="minor"/>
    </font>
    <font>
      <sz val="12"/>
      <color rgb="FF0000FF"/>
      <name val="Calibri"/>
      <family val="2"/>
      <scheme val="minor"/>
    </font>
    <font>
      <b/>
      <sz val="10"/>
      <color rgb="FFFF0000"/>
      <name val="Calibri"/>
      <family val="2"/>
      <scheme val="minor"/>
    </font>
    <font>
      <sz val="10"/>
      <color rgb="FFFF0000"/>
      <name val="Calibri"/>
      <family val="2"/>
      <scheme val="minor"/>
    </font>
    <font>
      <b/>
      <sz val="20"/>
      <name val="Calibri"/>
      <family val="2"/>
      <scheme val="minor"/>
    </font>
    <font>
      <sz val="8"/>
      <color rgb="FF706F6F"/>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lightDown">
        <fgColor auto="1"/>
      </patternFill>
    </fill>
    <fill>
      <patternFill patternType="lightDown">
        <bgColor auto="1"/>
      </patternFill>
    </fill>
    <fill>
      <patternFill patternType="solid">
        <fgColor indexed="9"/>
        <bgColor indexed="64"/>
      </patternFill>
    </fill>
    <fill>
      <patternFill patternType="solid">
        <fgColor theme="7" tint="0.59999389629810485"/>
        <bgColor indexed="64"/>
      </patternFill>
    </fill>
    <fill>
      <patternFill patternType="solid">
        <fgColor theme="7" tint="0.7999816888943144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FFC000"/>
      </left>
      <right style="medium">
        <color rgb="FFFFC000"/>
      </right>
      <top style="medium">
        <color rgb="FFFFC000"/>
      </top>
      <bottom style="medium">
        <color rgb="FFFFC000"/>
      </bottom>
      <diagonal/>
    </border>
    <border>
      <left style="medium">
        <color theme="7"/>
      </left>
      <right style="medium">
        <color theme="7"/>
      </right>
      <top style="medium">
        <color theme="7"/>
      </top>
      <bottom style="medium">
        <color theme="7"/>
      </bottom>
      <diagonal/>
    </border>
    <border>
      <left style="medium">
        <color theme="7"/>
      </left>
      <right style="medium">
        <color theme="7"/>
      </right>
      <top/>
      <bottom style="medium">
        <color theme="7"/>
      </bottom>
      <diagonal/>
    </border>
    <border>
      <left style="medium">
        <color theme="7"/>
      </left>
      <right style="medium">
        <color theme="7"/>
      </right>
      <top style="medium">
        <color theme="7"/>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hair">
        <color rgb="FF0033CC"/>
      </top>
      <bottom style="hair">
        <color rgb="FF0033CC"/>
      </bottom>
      <diagonal/>
    </border>
    <border>
      <left style="medium">
        <color indexed="64"/>
      </left>
      <right style="thin">
        <color indexed="64"/>
      </right>
      <top style="thin">
        <color indexed="64"/>
      </top>
      <bottom style="medium">
        <color indexed="64"/>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hair">
        <color rgb="FF0033CC"/>
      </bottom>
      <diagonal/>
    </border>
    <border>
      <left style="thin">
        <color indexed="64"/>
      </left>
      <right style="medium">
        <color indexed="64"/>
      </right>
      <top style="hair">
        <color indexed="64"/>
      </top>
      <bottom style="hair">
        <color indexed="64"/>
      </bottom>
      <diagonal/>
    </border>
    <border>
      <left style="hair">
        <color auto="1"/>
      </left>
      <right style="hair">
        <color auto="1"/>
      </right>
      <top style="thin">
        <color auto="1"/>
      </top>
      <bottom style="thin">
        <color auto="1"/>
      </bottom>
      <diagonal/>
    </border>
    <border>
      <left style="medium">
        <color rgb="FFFFC000"/>
      </left>
      <right style="medium">
        <color rgb="FFFFC000"/>
      </right>
      <top/>
      <bottom style="medium">
        <color rgb="FFFFC000"/>
      </bottom>
      <diagonal/>
    </border>
    <border>
      <left style="medium">
        <color theme="7"/>
      </left>
      <right/>
      <top style="medium">
        <color theme="7"/>
      </top>
      <bottom style="medium">
        <color theme="7"/>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auto="1"/>
      </left>
      <right/>
      <top style="hair">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s>
  <cellStyleXfs count="9">
    <xf numFmtId="0" fontId="0" fillId="0" borderId="0"/>
    <xf numFmtId="0" fontId="1"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172" fontId="8" fillId="0" borderId="0" applyFont="0" applyFill="0" applyBorder="0" applyAlignment="0" applyProtection="0"/>
    <xf numFmtId="0" fontId="24" fillId="0" borderId="0"/>
    <xf numFmtId="172" fontId="24" fillId="0" borderId="0" applyFont="0" applyFill="0" applyBorder="0" applyAlignment="0" applyProtection="0"/>
    <xf numFmtId="0" fontId="1" fillId="0" borderId="0"/>
  </cellStyleXfs>
  <cellXfs count="860">
    <xf numFmtId="0" fontId="0" fillId="0" borderId="0" xfId="0"/>
    <xf numFmtId="164" fontId="0" fillId="0" borderId="0" xfId="0" applyNumberFormat="1"/>
    <xf numFmtId="3" fontId="2" fillId="0" borderId="0" xfId="0" applyNumberFormat="1" applyFont="1"/>
    <xf numFmtId="3" fontId="3" fillId="0" borderId="0" xfId="0" applyNumberFormat="1" applyFont="1"/>
    <xf numFmtId="164" fontId="0" fillId="0" borderId="0" xfId="0" applyNumberFormat="1" applyBorder="1"/>
    <xf numFmtId="0" fontId="3" fillId="0" borderId="3" xfId="0"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Border="1"/>
    <xf numFmtId="164" fontId="7" fillId="0" borderId="10" xfId="0" applyNumberFormat="1" applyFont="1" applyBorder="1"/>
    <xf numFmtId="164" fontId="7" fillId="0" borderId="3" xfId="0" applyNumberFormat="1" applyFont="1" applyBorder="1"/>
    <xf numFmtId="164" fontId="7" fillId="0" borderId="0" xfId="0" applyNumberFormat="1" applyFont="1" applyBorder="1"/>
    <xf numFmtId="164" fontId="7" fillId="0" borderId="11" xfId="0" applyNumberFormat="1" applyFont="1" applyBorder="1"/>
    <xf numFmtId="3" fontId="2" fillId="0" borderId="1" xfId="0" applyNumberFormat="1" applyFont="1" applyBorder="1"/>
    <xf numFmtId="3" fontId="3" fillId="0" borderId="2" xfId="0" applyNumberFormat="1" applyFont="1" applyBorder="1"/>
    <xf numFmtId="3" fontId="3" fillId="0" borderId="2" xfId="0" applyNumberFormat="1" applyFont="1" applyBorder="1" applyAlignment="1">
      <alignment vertical="center"/>
    </xf>
    <xf numFmtId="3" fontId="2" fillId="0" borderId="1" xfId="0" applyNumberFormat="1" applyFont="1" applyBorder="1" applyAlignment="1">
      <alignment vertical="center"/>
    </xf>
    <xf numFmtId="0" fontId="10" fillId="0" borderId="0" xfId="0" applyFont="1"/>
    <xf numFmtId="164" fontId="9" fillId="0" borderId="0" xfId="0" applyNumberFormat="1" applyFont="1"/>
    <xf numFmtId="0" fontId="11" fillId="0" borderId="1" xfId="0" applyFont="1" applyBorder="1"/>
    <xf numFmtId="0" fontId="11" fillId="0" borderId="2" xfId="0" applyFont="1" applyBorder="1"/>
    <xf numFmtId="0" fontId="10" fillId="0" borderId="2" xfId="0" applyFont="1" applyBorder="1"/>
    <xf numFmtId="42" fontId="11" fillId="0" borderId="4" xfId="0" applyNumberFormat="1" applyFont="1" applyBorder="1" applyAlignment="1">
      <alignment horizontal="center" vertical="center" wrapText="1"/>
    </xf>
    <xf numFmtId="164" fontId="0" fillId="0" borderId="2" xfId="0" applyNumberFormat="1" applyBorder="1"/>
    <xf numFmtId="9" fontId="3" fillId="0" borderId="0" xfId="4" applyFont="1" applyAlignment="1">
      <alignment horizontal="center"/>
    </xf>
    <xf numFmtId="3" fontId="2" fillId="0" borderId="0" xfId="0" applyNumberFormat="1" applyFont="1" applyAlignment="1">
      <alignment horizontal="center" vertical="center" wrapText="1"/>
    </xf>
    <xf numFmtId="3" fontId="0" fillId="0" borderId="0" xfId="0" applyNumberFormat="1"/>
    <xf numFmtId="3" fontId="16" fillId="0" borderId="0" xfId="0" applyNumberFormat="1" applyFont="1"/>
    <xf numFmtId="3" fontId="11" fillId="0" borderId="10" xfId="0" applyNumberFormat="1" applyFont="1" applyBorder="1"/>
    <xf numFmtId="0" fontId="13" fillId="0" borderId="11" xfId="0" applyFont="1" applyBorder="1"/>
    <xf numFmtId="3" fontId="0" fillId="0" borderId="11" xfId="0" applyNumberFormat="1" applyBorder="1"/>
    <xf numFmtId="14" fontId="10" fillId="0" borderId="11" xfId="0" applyNumberFormat="1" applyFont="1" applyBorder="1"/>
    <xf numFmtId="169" fontId="10" fillId="0" borderId="5" xfId="0" applyNumberFormat="1" applyFont="1" applyBorder="1"/>
    <xf numFmtId="0" fontId="13" fillId="0" borderId="10" xfId="0" applyFont="1" applyBorder="1"/>
    <xf numFmtId="3" fontId="10" fillId="0" borderId="3" xfId="0" applyNumberFormat="1" applyFont="1" applyBorder="1"/>
    <xf numFmtId="0" fontId="13" fillId="0" borderId="0" xfId="0" applyFont="1"/>
    <xf numFmtId="3" fontId="10" fillId="0" borderId="0" xfId="0" applyNumberFormat="1" applyFont="1"/>
    <xf numFmtId="170" fontId="10" fillId="0" borderId="6" xfId="4" applyNumberFormat="1" applyFont="1" applyBorder="1"/>
    <xf numFmtId="0" fontId="13" fillId="0" borderId="3" xfId="0" applyFont="1" applyBorder="1"/>
    <xf numFmtId="4" fontId="10" fillId="0" borderId="6" xfId="0" applyNumberFormat="1" applyFont="1" applyBorder="1"/>
    <xf numFmtId="169" fontId="10" fillId="0" borderId="6" xfId="0" applyNumberFormat="1" applyFont="1" applyBorder="1"/>
    <xf numFmtId="3" fontId="11" fillId="0" borderId="12" xfId="0" applyNumberFormat="1" applyFont="1" applyBorder="1"/>
    <xf numFmtId="0" fontId="17" fillId="0" borderId="13" xfId="0" applyFont="1" applyBorder="1"/>
    <xf numFmtId="3" fontId="9" fillId="0" borderId="13" xfId="0" applyNumberFormat="1" applyFont="1" applyBorder="1"/>
    <xf numFmtId="3" fontId="0" fillId="0" borderId="13" xfId="0" applyNumberFormat="1" applyBorder="1"/>
    <xf numFmtId="14" fontId="11" fillId="0" borderId="13" xfId="0" applyNumberFormat="1" applyFont="1" applyBorder="1"/>
    <xf numFmtId="169" fontId="11" fillId="0" borderId="22" xfId="0" applyNumberFormat="1" applyFont="1" applyBorder="1"/>
    <xf numFmtId="171" fontId="10" fillId="0" borderId="6" xfId="0" applyNumberFormat="1" applyFont="1" applyBorder="1"/>
    <xf numFmtId="0" fontId="18" fillId="0" borderId="12" xfId="0" applyFont="1" applyBorder="1"/>
    <xf numFmtId="169" fontId="9" fillId="0" borderId="22" xfId="0" applyNumberFormat="1" applyFont="1" applyBorder="1"/>
    <xf numFmtId="3" fontId="9" fillId="0" borderId="0" xfId="0" applyNumberFormat="1" applyFont="1"/>
    <xf numFmtId="169" fontId="10" fillId="0" borderId="0" xfId="0" applyNumberFormat="1" applyFont="1"/>
    <xf numFmtId="0" fontId="19" fillId="0" borderId="1" xfId="0" applyFont="1" applyBorder="1"/>
    <xf numFmtId="3" fontId="0" fillId="0" borderId="2" xfId="0" applyNumberFormat="1" applyBorder="1"/>
    <xf numFmtId="3" fontId="0" fillId="0" borderId="17" xfId="0" applyNumberFormat="1" applyBorder="1"/>
    <xf numFmtId="0" fontId="17" fillId="0" borderId="4" xfId="0" applyFont="1" applyBorder="1" applyAlignment="1">
      <alignment horizontal="center" vertical="center"/>
    </xf>
    <xf numFmtId="169" fontId="10" fillId="0" borderId="11" xfId="0" applyNumberFormat="1" applyFont="1" applyBorder="1"/>
    <xf numFmtId="169" fontId="10" fillId="0" borderId="7" xfId="0" applyNumberFormat="1" applyFont="1" applyBorder="1"/>
    <xf numFmtId="169" fontId="10" fillId="0" borderId="8" xfId="0" applyNumberFormat="1" applyFont="1" applyBorder="1"/>
    <xf numFmtId="172" fontId="20" fillId="3" borderId="23" xfId="5" applyFont="1" applyFill="1" applyBorder="1" applyAlignment="1">
      <alignment horizontal="right"/>
    </xf>
    <xf numFmtId="169" fontId="17" fillId="0" borderId="21" xfId="0" applyNumberFormat="1" applyFont="1" applyBorder="1"/>
    <xf numFmtId="0" fontId="13" fillId="0" borderId="12" xfId="0" applyFont="1" applyBorder="1"/>
    <xf numFmtId="169" fontId="10" fillId="0" borderId="13" xfId="0" applyNumberFormat="1" applyFont="1" applyBorder="1"/>
    <xf numFmtId="169" fontId="17" fillId="0" borderId="4" xfId="0" applyNumberFormat="1" applyFont="1" applyBorder="1"/>
    <xf numFmtId="169" fontId="17" fillId="0" borderId="0" xfId="0" applyNumberFormat="1" applyFont="1"/>
    <xf numFmtId="0" fontId="19" fillId="0" borderId="0" xfId="0" applyFont="1"/>
    <xf numFmtId="9" fontId="10" fillId="0" borderId="0" xfId="4" applyFont="1"/>
    <xf numFmtId="3" fontId="0" fillId="0" borderId="8" xfId="0" applyNumberFormat="1" applyBorder="1"/>
    <xf numFmtId="170" fontId="10" fillId="0" borderId="0" xfId="4" applyNumberFormat="1" applyFont="1" applyBorder="1"/>
    <xf numFmtId="0" fontId="17" fillId="0" borderId="12" xfId="0" applyFont="1" applyBorder="1"/>
    <xf numFmtId="169" fontId="11" fillId="0" borderId="9" xfId="0" applyNumberFormat="1" applyFont="1" applyBorder="1"/>
    <xf numFmtId="0" fontId="17" fillId="0" borderId="1" xfId="0" applyFont="1" applyBorder="1"/>
    <xf numFmtId="169" fontId="15" fillId="0" borderId="4" xfId="0" applyNumberFormat="1" applyFont="1" applyBorder="1"/>
    <xf numFmtId="0" fontId="11" fillId="0" borderId="0" xfId="0" applyFont="1"/>
    <xf numFmtId="0" fontId="17" fillId="0" borderId="0" xfId="0" applyFont="1"/>
    <xf numFmtId="3" fontId="17" fillId="0" borderId="0" xfId="0" applyNumberFormat="1" applyFont="1" applyAlignment="1">
      <alignment horizontal="center"/>
    </xf>
    <xf numFmtId="3" fontId="10" fillId="0" borderId="0" xfId="0" applyNumberFormat="1" applyFont="1" applyAlignment="1">
      <alignment wrapText="1"/>
    </xf>
    <xf numFmtId="169" fontId="17" fillId="0" borderId="0" xfId="0" applyNumberFormat="1" applyFont="1" applyAlignment="1">
      <alignment horizontal="center"/>
    </xf>
    <xf numFmtId="0" fontId="17" fillId="0" borderId="10" xfId="0" applyFont="1" applyBorder="1"/>
    <xf numFmtId="3" fontId="10" fillId="0" borderId="11" xfId="0" applyNumberFormat="1" applyFont="1" applyBorder="1"/>
    <xf numFmtId="166" fontId="10" fillId="0" borderId="11" xfId="5" applyNumberFormat="1" applyFont="1" applyFill="1" applyBorder="1"/>
    <xf numFmtId="3" fontId="10" fillId="0" borderId="11" xfId="0" applyNumberFormat="1" applyFont="1" applyBorder="1" applyAlignment="1">
      <alignment wrapText="1"/>
    </xf>
    <xf numFmtId="169" fontId="11" fillId="0" borderId="5" xfId="0" applyNumberFormat="1" applyFont="1" applyBorder="1"/>
    <xf numFmtId="166" fontId="10" fillId="0" borderId="0" xfId="5" applyNumberFormat="1" applyFont="1" applyFill="1" applyBorder="1"/>
    <xf numFmtId="0" fontId="10" fillId="0" borderId="6" xfId="0" applyFont="1" applyBorder="1"/>
    <xf numFmtId="173" fontId="10" fillId="0" borderId="0" xfId="0" applyNumberFormat="1" applyFont="1"/>
    <xf numFmtId="166" fontId="11" fillId="0" borderId="0" xfId="5" applyNumberFormat="1" applyFont="1" applyFill="1" applyBorder="1"/>
    <xf numFmtId="169" fontId="10" fillId="0" borderId="9" xfId="0" applyNumberFormat="1" applyFont="1" applyBorder="1"/>
    <xf numFmtId="0" fontId="17" fillId="0" borderId="3" xfId="0" applyFont="1" applyBorder="1"/>
    <xf numFmtId="169" fontId="11" fillId="0" borderId="6" xfId="0" applyNumberFormat="1" applyFont="1" applyBorder="1"/>
    <xf numFmtId="3" fontId="10" fillId="0" borderId="10" xfId="0" applyNumberFormat="1" applyFont="1" applyBorder="1"/>
    <xf numFmtId="0" fontId="17" fillId="0" borderId="18" xfId="0" applyFont="1" applyBorder="1"/>
    <xf numFmtId="3" fontId="17" fillId="0" borderId="19" xfId="0" applyNumberFormat="1" applyFont="1" applyBorder="1"/>
    <xf numFmtId="166" fontId="10" fillId="0" borderId="19" xfId="5" applyNumberFormat="1" applyFont="1" applyFill="1" applyBorder="1"/>
    <xf numFmtId="169" fontId="17" fillId="0" borderId="20" xfId="0" applyNumberFormat="1" applyFont="1" applyBorder="1"/>
    <xf numFmtId="3" fontId="0" fillId="0" borderId="12" xfId="0" applyNumberFormat="1" applyBorder="1"/>
    <xf numFmtId="169" fontId="17" fillId="0" borderId="17" xfId="0" applyNumberFormat="1" applyFont="1" applyBorder="1"/>
    <xf numFmtId="169" fontId="11" fillId="0" borderId="13" xfId="0" applyNumberFormat="1" applyFont="1" applyBorder="1"/>
    <xf numFmtId="169" fontId="11" fillId="0" borderId="1" xfId="0" applyNumberFormat="1" applyFont="1" applyBorder="1"/>
    <xf numFmtId="169" fontId="11" fillId="0" borderId="17" xfId="0" applyNumberFormat="1" applyFont="1" applyBorder="1"/>
    <xf numFmtId="3" fontId="10" fillId="0" borderId="1" xfId="0" applyNumberFormat="1" applyFont="1" applyBorder="1"/>
    <xf numFmtId="169" fontId="10" fillId="0" borderId="17" xfId="0" applyNumberFormat="1" applyFont="1" applyBorder="1"/>
    <xf numFmtId="169" fontId="11" fillId="3" borderId="4" xfId="0" applyNumberFormat="1" applyFont="1" applyFill="1" applyBorder="1"/>
    <xf numFmtId="169" fontId="10" fillId="0" borderId="10" xfId="0" applyNumberFormat="1" applyFont="1" applyBorder="1"/>
    <xf numFmtId="169" fontId="10" fillId="0" borderId="12" xfId="0" applyNumberFormat="1" applyFont="1" applyBorder="1"/>
    <xf numFmtId="169" fontId="11" fillId="3" borderId="9" xfId="0" applyNumberFormat="1" applyFont="1" applyFill="1" applyBorder="1"/>
    <xf numFmtId="0" fontId="15" fillId="4" borderId="34" xfId="0" applyFont="1" applyFill="1" applyBorder="1" applyAlignment="1">
      <alignment horizontal="center" vertical="center" wrapText="1"/>
    </xf>
    <xf numFmtId="0" fontId="15" fillId="4" borderId="44" xfId="0" applyFont="1" applyFill="1" applyBorder="1" applyAlignment="1">
      <alignment horizontal="center" vertical="center" wrapText="1"/>
    </xf>
    <xf numFmtId="174" fontId="7" fillId="5" borderId="45" xfId="3" applyNumberFormat="1" applyFont="1" applyFill="1" applyBorder="1"/>
    <xf numFmtId="174" fontId="7" fillId="5" borderId="46" xfId="3" applyNumberFormat="1" applyFont="1" applyFill="1" applyBorder="1"/>
    <xf numFmtId="174" fontId="7" fillId="5" borderId="47" xfId="3" applyNumberFormat="1" applyFont="1" applyFill="1" applyBorder="1"/>
    <xf numFmtId="174" fontId="15" fillId="5" borderId="4" xfId="3" applyNumberFormat="1" applyFont="1" applyFill="1" applyBorder="1"/>
    <xf numFmtId="3" fontId="9" fillId="6" borderId="4" xfId="0" applyNumberFormat="1" applyFont="1" applyFill="1" applyBorder="1" applyAlignment="1">
      <alignment horizontal="center"/>
    </xf>
    <xf numFmtId="3" fontId="9" fillId="0" borderId="1" xfId="0" applyNumberFormat="1" applyFont="1" applyBorder="1"/>
    <xf numFmtId="169" fontId="11" fillId="0" borderId="4" xfId="0" applyNumberFormat="1" applyFont="1" applyBorder="1"/>
    <xf numFmtId="169" fontId="10" fillId="3" borderId="11" xfId="0" applyNumberFormat="1" applyFont="1" applyFill="1" applyBorder="1"/>
    <xf numFmtId="169" fontId="10" fillId="3" borderId="0" xfId="0" applyNumberFormat="1" applyFont="1" applyFill="1"/>
    <xf numFmtId="0" fontId="17" fillId="0" borderId="0" xfId="0" applyFont="1" applyBorder="1"/>
    <xf numFmtId="3" fontId="9" fillId="0" borderId="0" xfId="0" applyNumberFormat="1" applyFont="1" applyBorder="1"/>
    <xf numFmtId="169" fontId="11" fillId="0" borderId="0" xfId="0" applyNumberFormat="1" applyFont="1" applyBorder="1"/>
    <xf numFmtId="3" fontId="0" fillId="0" borderId="0" xfId="0" applyNumberFormat="1" applyBorder="1"/>
    <xf numFmtId="169" fontId="15" fillId="0" borderId="0" xfId="0" applyNumberFormat="1" applyFont="1" applyBorder="1"/>
    <xf numFmtId="0" fontId="18" fillId="0" borderId="0" xfId="0" applyFont="1" applyBorder="1"/>
    <xf numFmtId="169" fontId="9" fillId="0" borderId="0" xfId="0" applyNumberFormat="1" applyFont="1" applyBorder="1"/>
    <xf numFmtId="3" fontId="0" fillId="0" borderId="6" xfId="0" applyNumberFormat="1" applyBorder="1"/>
    <xf numFmtId="3" fontId="11" fillId="0" borderId="0" xfId="0" applyNumberFormat="1" applyFont="1"/>
    <xf numFmtId="174" fontId="7" fillId="5" borderId="49" xfId="3" applyNumberFormat="1" applyFont="1" applyFill="1" applyBorder="1"/>
    <xf numFmtId="174" fontId="21" fillId="5" borderId="46" xfId="3" applyNumberFormat="1" applyFont="1" applyFill="1" applyBorder="1"/>
    <xf numFmtId="9" fontId="21" fillId="5" borderId="46" xfId="4" applyFont="1" applyFill="1" applyBorder="1"/>
    <xf numFmtId="9" fontId="10" fillId="5" borderId="4" xfId="4" applyFont="1" applyFill="1" applyBorder="1"/>
    <xf numFmtId="3" fontId="2" fillId="0" borderId="19" xfId="0" applyNumberFormat="1" applyFont="1" applyBorder="1"/>
    <xf numFmtId="164" fontId="0" fillId="0" borderId="6" xfId="0" applyNumberFormat="1" applyBorder="1"/>
    <xf numFmtId="164" fontId="0" fillId="0" borderId="5" xfId="0" applyNumberFormat="1" applyBorder="1"/>
    <xf numFmtId="3" fontId="2" fillId="0" borderId="3" xfId="0" applyNumberFormat="1" applyFont="1" applyBorder="1"/>
    <xf numFmtId="164" fontId="0" fillId="0" borderId="17" xfId="0" applyNumberFormat="1" applyBorder="1"/>
    <xf numFmtId="0" fontId="10" fillId="5" borderId="11" xfId="0" applyFont="1" applyFill="1" applyBorder="1"/>
    <xf numFmtId="166" fontId="10" fillId="5" borderId="11" xfId="2" applyNumberFormat="1" applyFont="1" applyFill="1" applyBorder="1" applyAlignment="1">
      <alignment horizontal="right"/>
    </xf>
    <xf numFmtId="166" fontId="10" fillId="5" borderId="11" xfId="2" applyNumberFormat="1" applyFont="1" applyFill="1" applyBorder="1"/>
    <xf numFmtId="0" fontId="10" fillId="5" borderId="0" xfId="0" applyFont="1" applyFill="1"/>
    <xf numFmtId="166" fontId="10" fillId="5" borderId="0" xfId="2" applyNumberFormat="1" applyFont="1" applyFill="1" applyBorder="1" applyAlignment="1">
      <alignment horizontal="right"/>
    </xf>
    <xf numFmtId="166" fontId="10" fillId="5" borderId="0" xfId="2" applyNumberFormat="1" applyFont="1" applyFill="1" applyBorder="1"/>
    <xf numFmtId="0" fontId="15" fillId="0" borderId="1" xfId="0" applyFont="1" applyBorder="1"/>
    <xf numFmtId="0" fontId="9" fillId="0" borderId="1" xfId="0" applyFont="1" applyBorder="1"/>
    <xf numFmtId="0" fontId="11" fillId="4" borderId="1" xfId="0" applyFont="1" applyFill="1" applyBorder="1"/>
    <xf numFmtId="0" fontId="11" fillId="4" borderId="2" xfId="0" applyFont="1" applyFill="1" applyBorder="1"/>
    <xf numFmtId="0" fontId="10" fillId="4" borderId="2" xfId="0" applyFont="1" applyFill="1" applyBorder="1"/>
    <xf numFmtId="164" fontId="0" fillId="4" borderId="19" xfId="0" applyNumberFormat="1" applyFill="1" applyBorder="1"/>
    <xf numFmtId="164" fontId="0" fillId="4" borderId="20" xfId="0" applyNumberFormat="1" applyFill="1" applyBorder="1"/>
    <xf numFmtId="0" fontId="15" fillId="4" borderId="18" xfId="0" applyFont="1" applyFill="1" applyBorder="1"/>
    <xf numFmtId="0" fontId="22" fillId="0" borderId="1" xfId="0" applyFont="1" applyBorder="1"/>
    <xf numFmtId="164" fontId="23" fillId="0" borderId="2" xfId="0" applyNumberFormat="1" applyFont="1" applyBorder="1"/>
    <xf numFmtId="164" fontId="23" fillId="0" borderId="17" xfId="0" applyNumberFormat="1" applyFont="1" applyBorder="1"/>
    <xf numFmtId="3" fontId="2" fillId="0" borderId="0" xfId="0" applyNumberFormat="1" applyFont="1" applyAlignment="1">
      <alignment horizontal="left" vertical="center" wrapText="1"/>
    </xf>
    <xf numFmtId="164" fontId="7" fillId="0" borderId="8" xfId="0" applyNumberFormat="1" applyFont="1" applyBorder="1" applyAlignment="1">
      <alignment horizontal="right" wrapText="1"/>
    </xf>
    <xf numFmtId="164" fontId="22" fillId="0" borderId="4" xfId="0" applyNumberFormat="1" applyFont="1" applyBorder="1" applyAlignment="1">
      <alignment horizontal="right" wrapText="1"/>
    </xf>
    <xf numFmtId="164" fontId="22" fillId="7" borderId="4" xfId="0" applyNumberFormat="1" applyFont="1" applyFill="1" applyBorder="1" applyAlignment="1">
      <alignment horizontal="right" wrapText="1"/>
    </xf>
    <xf numFmtId="164" fontId="7" fillId="0" borderId="0" xfId="0" applyNumberFormat="1" applyFont="1"/>
    <xf numFmtId="0" fontId="7" fillId="0" borderId="3" xfId="0" applyFont="1" applyBorder="1"/>
    <xf numFmtId="0" fontId="15" fillId="0" borderId="2" xfId="0" applyFont="1" applyBorder="1"/>
    <xf numFmtId="0" fontId="7" fillId="0" borderId="2" xfId="0" applyFont="1" applyBorder="1"/>
    <xf numFmtId="42" fontId="15" fillId="0" borderId="4" xfId="0" applyNumberFormat="1" applyFont="1" applyBorder="1" applyAlignment="1">
      <alignment horizontal="center" vertical="center" wrapText="1"/>
    </xf>
    <xf numFmtId="42" fontId="2" fillId="0" borderId="4" xfId="0" applyNumberFormat="1" applyFont="1" applyBorder="1" applyAlignment="1">
      <alignment horizontal="center" vertical="center" wrapText="1"/>
    </xf>
    <xf numFmtId="0" fontId="7" fillId="0" borderId="0" xfId="0" applyFont="1"/>
    <xf numFmtId="166" fontId="7" fillId="0" borderId="0" xfId="2" applyNumberFormat="1" applyFont="1" applyFill="1" applyBorder="1" applyAlignment="1">
      <alignment horizontal="right"/>
    </xf>
    <xf numFmtId="166" fontId="7" fillId="0" borderId="0" xfId="2" applyNumberFormat="1" applyFont="1" applyFill="1" applyBorder="1"/>
    <xf numFmtId="0" fontId="7" fillId="0" borderId="10" xfId="0" applyFont="1" applyBorder="1" applyAlignment="1"/>
    <xf numFmtId="0" fontId="7" fillId="0" borderId="3" xfId="0" applyFont="1" applyBorder="1" applyAlignment="1"/>
    <xf numFmtId="0" fontId="7" fillId="0" borderId="3" xfId="0" applyFont="1" applyBorder="1" applyAlignment="1">
      <alignment horizontal="left"/>
    </xf>
    <xf numFmtId="0" fontId="2" fillId="0" borderId="1" xfId="0" applyFont="1" applyBorder="1"/>
    <xf numFmtId="0" fontId="3" fillId="0" borderId="54" xfId="0" applyFont="1" applyBorder="1"/>
    <xf numFmtId="0" fontId="3" fillId="0" borderId="51" xfId="0" applyFont="1" applyBorder="1"/>
    <xf numFmtId="0" fontId="3" fillId="0" borderId="3" xfId="0" applyFont="1" applyBorder="1"/>
    <xf numFmtId="0" fontId="2" fillId="0" borderId="18" xfId="0" applyFont="1" applyBorder="1"/>
    <xf numFmtId="164" fontId="6" fillId="0" borderId="0" xfId="0" applyNumberFormat="1" applyFont="1" applyAlignment="1">
      <alignment vertical="center"/>
    </xf>
    <xf numFmtId="0" fontId="7" fillId="5" borderId="10" xfId="0" applyFont="1" applyFill="1" applyBorder="1"/>
    <xf numFmtId="0" fontId="7" fillId="5" borderId="3" xfId="0" applyFont="1" applyFill="1" applyBorder="1"/>
    <xf numFmtId="0" fontId="7" fillId="5" borderId="11" xfId="0" applyFont="1" applyFill="1" applyBorder="1"/>
    <xf numFmtId="166" fontId="7" fillId="5" borderId="11" xfId="2" applyNumberFormat="1" applyFont="1" applyFill="1" applyBorder="1" applyAlignment="1">
      <alignment horizontal="right"/>
    </xf>
    <xf numFmtId="166" fontId="7" fillId="5" borderId="11" xfId="2" applyNumberFormat="1" applyFont="1" applyFill="1" applyBorder="1"/>
    <xf numFmtId="0" fontId="7" fillId="5" borderId="0" xfId="0" applyFont="1" applyFill="1"/>
    <xf numFmtId="166" fontId="7" fillId="5" borderId="0" xfId="2" applyNumberFormat="1" applyFont="1" applyFill="1" applyBorder="1" applyAlignment="1">
      <alignment horizontal="right"/>
    </xf>
    <xf numFmtId="166" fontId="7" fillId="5" borderId="0" xfId="2" applyNumberFormat="1" applyFont="1" applyFill="1" applyBorder="1"/>
    <xf numFmtId="164" fontId="7" fillId="4" borderId="19" xfId="0" applyNumberFormat="1" applyFont="1" applyFill="1" applyBorder="1"/>
    <xf numFmtId="164" fontId="7" fillId="4" borderId="20" xfId="0" applyNumberFormat="1" applyFont="1" applyFill="1" applyBorder="1"/>
    <xf numFmtId="164" fontId="23" fillId="0" borderId="0" xfId="0" applyNumberFormat="1" applyFont="1"/>
    <xf numFmtId="0" fontId="4" fillId="0" borderId="3" xfId="0" applyFont="1" applyBorder="1" applyAlignment="1">
      <alignment horizontal="left"/>
    </xf>
    <xf numFmtId="3" fontId="2" fillId="0" borderId="8" xfId="0" applyNumberFormat="1" applyFont="1" applyBorder="1" applyAlignment="1">
      <alignment horizontal="center"/>
    </xf>
    <xf numFmtId="0" fontId="4" fillId="0" borderId="1"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left"/>
    </xf>
    <xf numFmtId="3" fontId="3" fillId="0" borderId="0" xfId="0" applyNumberFormat="1" applyFont="1" applyAlignment="1">
      <alignment horizontal="left" vertical="top" wrapText="1"/>
    </xf>
    <xf numFmtId="3" fontId="3" fillId="0" borderId="19" xfId="0" applyNumberFormat="1" applyFont="1" applyBorder="1"/>
    <xf numFmtId="42" fontId="26" fillId="0" borderId="0" xfId="0" applyNumberFormat="1" applyFont="1"/>
    <xf numFmtId="164" fontId="26" fillId="0" borderId="0" xfId="0" applyNumberFormat="1" applyFont="1"/>
    <xf numFmtId="0" fontId="13" fillId="0" borderId="0" xfId="0" applyFont="1" applyAlignment="1">
      <alignment vertical="center" wrapText="1"/>
    </xf>
    <xf numFmtId="164" fontId="3" fillId="0" borderId="0" xfId="0" applyNumberFormat="1" applyFont="1" applyAlignment="1">
      <alignment horizontal="center" vertical="center" wrapText="1"/>
    </xf>
    <xf numFmtId="0" fontId="3" fillId="0" borderId="0" xfId="0" applyFont="1"/>
    <xf numFmtId="164" fontId="3" fillId="0" borderId="0" xfId="0" applyNumberFormat="1" applyFont="1"/>
    <xf numFmtId="0" fontId="3" fillId="0" borderId="2" xfId="0" applyFont="1" applyBorder="1"/>
    <xf numFmtId="42" fontId="3" fillId="0" borderId="0" xfId="0" applyNumberFormat="1" applyFont="1"/>
    <xf numFmtId="0" fontId="3" fillId="0" borderId="10" xfId="0" applyFont="1" applyBorder="1"/>
    <xf numFmtId="0" fontId="3" fillId="0" borderId="11" xfId="0" applyFont="1" applyBorder="1"/>
    <xf numFmtId="42" fontId="3" fillId="0" borderId="7" xfId="0" applyNumberFormat="1" applyFont="1" applyBorder="1" applyAlignment="1">
      <alignment horizontal="center" vertical="center" wrapText="1"/>
    </xf>
    <xf numFmtId="166" fontId="3" fillId="0" borderId="11" xfId="2" applyNumberFormat="1" applyFont="1" applyFill="1" applyBorder="1" applyAlignment="1">
      <alignment horizontal="right"/>
    </xf>
    <xf numFmtId="166" fontId="3" fillId="0" borderId="11" xfId="2" applyNumberFormat="1" applyFont="1" applyFill="1" applyBorder="1"/>
    <xf numFmtId="175" fontId="3" fillId="0" borderId="7" xfId="2" applyNumberFormat="1" applyFont="1" applyFill="1" applyBorder="1" applyAlignment="1">
      <alignment horizontal="right"/>
    </xf>
    <xf numFmtId="175" fontId="3" fillId="0" borderId="7" xfId="0" applyNumberFormat="1" applyFont="1" applyBorder="1" applyAlignment="1">
      <alignment horizontal="right" wrapText="1"/>
    </xf>
    <xf numFmtId="42" fontId="3" fillId="0" borderId="7" xfId="0" applyNumberFormat="1" applyFont="1" applyBorder="1" applyAlignment="1">
      <alignment horizontal="right" wrapText="1"/>
    </xf>
    <xf numFmtId="166" fontId="3" fillId="0" borderId="0" xfId="2" applyNumberFormat="1" applyFont="1" applyFill="1" applyBorder="1" applyAlignment="1">
      <alignment horizontal="right"/>
    </xf>
    <xf numFmtId="166" fontId="3" fillId="0" borderId="0" xfId="2" applyNumberFormat="1" applyFont="1" applyFill="1" applyBorder="1"/>
    <xf numFmtId="175" fontId="3" fillId="0" borderId="8" xfId="2" applyNumberFormat="1" applyFont="1" applyFill="1" applyBorder="1" applyAlignment="1"/>
    <xf numFmtId="175" fontId="3" fillId="0" borderId="8" xfId="0" applyNumberFormat="1" applyFont="1" applyBorder="1" applyAlignment="1">
      <alignment horizontal="right" wrapText="1"/>
    </xf>
    <xf numFmtId="42" fontId="3" fillId="0" borderId="8" xfId="0" applyNumberFormat="1" applyFont="1" applyBorder="1" applyAlignment="1">
      <alignment horizontal="right" wrapText="1"/>
    </xf>
    <xf numFmtId="9" fontId="3" fillId="0" borderId="0" xfId="4" applyFont="1"/>
    <xf numFmtId="0" fontId="3" fillId="0" borderId="12" xfId="0" applyFont="1" applyBorder="1"/>
    <xf numFmtId="0" fontId="3" fillId="0" borderId="13" xfId="0" applyFont="1" applyBorder="1"/>
    <xf numFmtId="166" fontId="3" fillId="0" borderId="13" xfId="2" applyNumberFormat="1" applyFont="1" applyFill="1" applyBorder="1" applyAlignment="1">
      <alignment horizontal="right"/>
    </xf>
    <xf numFmtId="166" fontId="3" fillId="0" borderId="13" xfId="2" applyNumberFormat="1" applyFont="1" applyFill="1" applyBorder="1"/>
    <xf numFmtId="175" fontId="3" fillId="0" borderId="9" xfId="2" applyNumberFormat="1" applyFont="1" applyFill="1" applyBorder="1" applyAlignment="1"/>
    <xf numFmtId="175" fontId="3" fillId="0" borderId="9" xfId="0" applyNumberFormat="1" applyFont="1" applyBorder="1" applyAlignment="1">
      <alignment horizontal="right" wrapText="1"/>
    </xf>
    <xf numFmtId="42" fontId="3" fillId="0" borderId="9" xfId="0" applyNumberFormat="1" applyFont="1" applyBorder="1" applyAlignment="1">
      <alignment horizontal="right" wrapText="1"/>
    </xf>
    <xf numFmtId="0" fontId="3" fillId="0" borderId="19" xfId="0" applyFont="1" applyBorder="1"/>
    <xf numFmtId="166" fontId="3" fillId="0" borderId="19" xfId="2" applyNumberFormat="1" applyFont="1" applyFill="1" applyBorder="1"/>
    <xf numFmtId="175" fontId="3" fillId="0" borderId="21" xfId="0" applyNumberFormat="1" applyFont="1" applyBorder="1" applyAlignment="1">
      <alignment wrapText="1"/>
    </xf>
    <xf numFmtId="42" fontId="3" fillId="0" borderId="21" xfId="0" applyNumberFormat="1" applyFont="1" applyBorder="1" applyAlignment="1">
      <alignment horizontal="right" wrapText="1"/>
    </xf>
    <xf numFmtId="166" fontId="3" fillId="0" borderId="2" xfId="2" applyNumberFormat="1" applyFont="1" applyFill="1" applyBorder="1" applyAlignment="1">
      <alignment horizontal="right"/>
    </xf>
    <xf numFmtId="166" fontId="3" fillId="0" borderId="2" xfId="2" applyNumberFormat="1" applyFont="1" applyFill="1" applyBorder="1"/>
    <xf numFmtId="42" fontId="3" fillId="0" borderId="2" xfId="0" applyNumberFormat="1" applyFont="1" applyBorder="1" applyAlignment="1">
      <alignment horizontal="center" vertical="center" wrapText="1"/>
    </xf>
    <xf numFmtId="42" fontId="3" fillId="0" borderId="17" xfId="0" applyNumberFormat="1" applyFont="1" applyBorder="1" applyAlignment="1">
      <alignment horizontal="center" vertical="center" wrapText="1"/>
    </xf>
    <xf numFmtId="42" fontId="3" fillId="0" borderId="0" xfId="2" applyNumberFormat="1" applyFont="1" applyFill="1" applyBorder="1"/>
    <xf numFmtId="42" fontId="3" fillId="0" borderId="6" xfId="0" applyNumberFormat="1" applyFont="1" applyBorder="1" applyAlignment="1">
      <alignment wrapText="1"/>
    </xf>
    <xf numFmtId="42" fontId="3" fillId="0" borderId="19" xfId="0" applyNumberFormat="1" applyFont="1" applyBorder="1" applyAlignment="1">
      <alignment wrapText="1"/>
    </xf>
    <xf numFmtId="42" fontId="3" fillId="0" borderId="20" xfId="0" applyNumberFormat="1" applyFont="1" applyBorder="1" applyAlignment="1">
      <alignment wrapText="1"/>
    </xf>
    <xf numFmtId="42" fontId="3" fillId="0" borderId="21" xfId="0" applyNumberFormat="1" applyFont="1" applyBorder="1" applyAlignment="1">
      <alignment wrapText="1"/>
    </xf>
    <xf numFmtId="0" fontId="3" fillId="0" borderId="0" xfId="0" applyFont="1" applyBorder="1"/>
    <xf numFmtId="42" fontId="3" fillId="0" borderId="0" xfId="0" applyNumberFormat="1" applyFont="1" applyBorder="1" applyAlignment="1">
      <alignment wrapText="1"/>
    </xf>
    <xf numFmtId="164" fontId="3" fillId="0" borderId="2" xfId="0" applyNumberFormat="1" applyFont="1" applyBorder="1"/>
    <xf numFmtId="166" fontId="3" fillId="0" borderId="2" xfId="2" applyNumberFormat="1" applyFont="1" applyFill="1" applyBorder="1" applyAlignment="1">
      <alignment horizontal="center"/>
    </xf>
    <xf numFmtId="175" fontId="3" fillId="0" borderId="3" xfId="2" applyNumberFormat="1" applyFont="1" applyFill="1" applyBorder="1" applyAlignment="1"/>
    <xf numFmtId="175" fontId="3" fillId="0" borderId="6" xfId="2" applyNumberFormat="1" applyFont="1" applyFill="1" applyBorder="1" applyAlignment="1"/>
    <xf numFmtId="42" fontId="3" fillId="0" borderId="0" xfId="0" applyNumberFormat="1" applyFont="1" applyAlignment="1">
      <alignment wrapText="1"/>
    </xf>
    <xf numFmtId="0" fontId="3" fillId="0" borderId="10" xfId="0" applyFont="1" applyBorder="1" applyAlignment="1"/>
    <xf numFmtId="0" fontId="3" fillId="0" borderId="11" xfId="0" applyFont="1" applyBorder="1" applyAlignment="1"/>
    <xf numFmtId="0" fontId="3" fillId="0" borderId="3" xfId="0" applyFont="1" applyBorder="1" applyAlignment="1"/>
    <xf numFmtId="0" fontId="3" fillId="0" borderId="0" xfId="0" applyFont="1" applyAlignment="1"/>
    <xf numFmtId="0" fontId="3" fillId="0" borderId="0" xfId="0" applyFont="1" applyBorder="1" applyAlignment="1"/>
    <xf numFmtId="175" fontId="3" fillId="0" borderId="0" xfId="2" applyNumberFormat="1" applyFont="1" applyFill="1" applyBorder="1" applyAlignment="1"/>
    <xf numFmtId="0" fontId="3" fillId="0" borderId="3" xfId="0" applyFont="1" applyBorder="1" applyAlignment="1">
      <alignment horizontal="left"/>
    </xf>
    <xf numFmtId="0" fontId="3" fillId="0" borderId="0" xfId="0" applyFont="1" applyAlignment="1">
      <alignment horizontal="left"/>
    </xf>
    <xf numFmtId="42" fontId="3" fillId="0" borderId="0" xfId="2" applyNumberFormat="1" applyFont="1" applyFill="1" applyBorder="1" applyAlignment="1"/>
    <xf numFmtId="0" fontId="3" fillId="0" borderId="0" xfId="0" applyFont="1" applyBorder="1" applyAlignment="1">
      <alignment horizontal="right"/>
    </xf>
    <xf numFmtId="0" fontId="3" fillId="0" borderId="12" xfId="0" applyFont="1" applyBorder="1" applyAlignment="1"/>
    <xf numFmtId="0" fontId="3" fillId="0" borderId="13" xfId="0" applyFont="1" applyBorder="1" applyAlignment="1"/>
    <xf numFmtId="175" fontId="3" fillId="0" borderId="0" xfId="0" applyNumberFormat="1" applyFont="1" applyBorder="1" applyAlignment="1">
      <alignment wrapText="1"/>
    </xf>
    <xf numFmtId="42" fontId="3" fillId="0" borderId="0" xfId="0" applyNumberFormat="1" applyFont="1" applyBorder="1"/>
    <xf numFmtId="166" fontId="3" fillId="0" borderId="2" xfId="5" applyNumberFormat="1" applyFont="1" applyFill="1" applyBorder="1"/>
    <xf numFmtId="3" fontId="3" fillId="0" borderId="55" xfId="0" applyNumberFormat="1" applyFont="1" applyBorder="1"/>
    <xf numFmtId="166" fontId="3" fillId="0" borderId="55" xfId="5" applyNumberFormat="1" applyFont="1" applyFill="1" applyBorder="1"/>
    <xf numFmtId="3" fontId="3" fillId="0" borderId="56" xfId="0" applyNumberFormat="1" applyFont="1" applyBorder="1"/>
    <xf numFmtId="164" fontId="3" fillId="5" borderId="50" xfId="3" applyNumberFormat="1" applyFont="1" applyFill="1" applyBorder="1"/>
    <xf numFmtId="3" fontId="3" fillId="0" borderId="6" xfId="0" applyNumberFormat="1" applyFont="1" applyBorder="1"/>
    <xf numFmtId="3" fontId="3" fillId="0" borderId="53" xfId="0" applyNumberFormat="1" applyFont="1" applyBorder="1"/>
    <xf numFmtId="166" fontId="3" fillId="0" borderId="53" xfId="5" applyNumberFormat="1" applyFont="1" applyFill="1" applyBorder="1"/>
    <xf numFmtId="3" fontId="3" fillId="0" borderId="52" xfId="0" applyNumberFormat="1" applyFont="1" applyBorder="1"/>
    <xf numFmtId="164" fontId="3" fillId="5" borderId="46" xfId="3" applyNumberFormat="1" applyFont="1" applyFill="1" applyBorder="1"/>
    <xf numFmtId="164" fontId="3" fillId="5" borderId="2" xfId="3" applyNumberFormat="1" applyFont="1" applyFill="1" applyBorder="1"/>
    <xf numFmtId="166" fontId="3" fillId="0" borderId="0" xfId="5" applyNumberFormat="1" applyFont="1" applyFill="1" applyBorder="1"/>
    <xf numFmtId="166" fontId="3" fillId="0" borderId="19" xfId="5" applyNumberFormat="1" applyFont="1" applyFill="1" applyBorder="1"/>
    <xf numFmtId="164" fontId="3" fillId="0" borderId="0" xfId="0" quotePrefix="1" applyNumberFormat="1" applyFont="1"/>
    <xf numFmtId="170" fontId="3" fillId="0" borderId="0" xfId="4" applyNumberFormat="1" applyFont="1"/>
    <xf numFmtId="14" fontId="3" fillId="0" borderId="5" xfId="0" applyNumberFormat="1" applyFont="1" applyBorder="1"/>
    <xf numFmtId="168" fontId="3" fillId="0" borderId="8" xfId="2" applyNumberFormat="1" applyFont="1" applyFill="1" applyBorder="1" applyAlignment="1"/>
    <xf numFmtId="14" fontId="3" fillId="0" borderId="22" xfId="0" applyNumberFormat="1" applyFont="1" applyBorder="1"/>
    <xf numFmtId="0" fontId="3" fillId="0" borderId="57" xfId="0" applyFont="1" applyBorder="1"/>
    <xf numFmtId="164" fontId="3" fillId="0" borderId="20" xfId="0" applyNumberFormat="1" applyFont="1" applyBorder="1"/>
    <xf numFmtId="42" fontId="3" fillId="0" borderId="7" xfId="0" applyNumberFormat="1" applyFont="1" applyBorder="1"/>
    <xf numFmtId="164" fontId="3" fillId="0" borderId="0" xfId="0" applyNumberFormat="1" applyFont="1" applyBorder="1"/>
    <xf numFmtId="17" fontId="3" fillId="0" borderId="10" xfId="0" applyNumberFormat="1" applyFont="1" applyBorder="1"/>
    <xf numFmtId="164" fontId="3" fillId="0" borderId="58" xfId="0" applyNumberFormat="1" applyFont="1" applyBorder="1"/>
    <xf numFmtId="164" fontId="18" fillId="0" borderId="0" xfId="0" applyNumberFormat="1" applyFont="1"/>
    <xf numFmtId="0" fontId="2" fillId="0" borderId="1" xfId="0" applyFont="1" applyBorder="1" applyAlignment="1">
      <alignment vertical="center"/>
    </xf>
    <xf numFmtId="0" fontId="3" fillId="5" borderId="0" xfId="0" applyFont="1" applyFill="1"/>
    <xf numFmtId="166" fontId="3" fillId="5" borderId="0" xfId="2" applyNumberFormat="1" applyFont="1" applyFill="1" applyBorder="1" applyAlignment="1">
      <alignment horizontal="right"/>
    </xf>
    <xf numFmtId="166" fontId="3" fillId="5" borderId="0" xfId="2" applyNumberFormat="1" applyFont="1" applyFill="1" applyBorder="1"/>
    <xf numFmtId="175" fontId="3" fillId="5" borderId="8" xfId="2" applyNumberFormat="1" applyFont="1" applyFill="1" applyBorder="1" applyAlignment="1"/>
    <xf numFmtId="0" fontId="2" fillId="0" borderId="0" xfId="0" applyFont="1"/>
    <xf numFmtId="3" fontId="2" fillId="0" borderId="2" xfId="0" applyNumberFormat="1" applyFont="1" applyBorder="1"/>
    <xf numFmtId="166" fontId="2" fillId="0" borderId="2" xfId="5" applyNumberFormat="1" applyFont="1" applyFill="1" applyBorder="1"/>
    <xf numFmtId="3" fontId="2" fillId="0" borderId="2" xfId="0" applyNumberFormat="1" applyFont="1" applyBorder="1" applyAlignment="1">
      <alignment wrapText="1"/>
    </xf>
    <xf numFmtId="3" fontId="2" fillId="0" borderId="17" xfId="0" applyNumberFormat="1" applyFont="1" applyBorder="1"/>
    <xf numFmtId="164" fontId="2" fillId="0" borderId="4" xfId="0" applyNumberFormat="1" applyFont="1" applyBorder="1" applyAlignment="1">
      <alignment horizontal="center" vertical="center"/>
    </xf>
    <xf numFmtId="164" fontId="2" fillId="0" borderId="4" xfId="0" applyNumberFormat="1" applyFont="1" applyBorder="1"/>
    <xf numFmtId="164" fontId="2" fillId="0" borderId="0" xfId="0" applyNumberFormat="1" applyFont="1"/>
    <xf numFmtId="3" fontId="7" fillId="0" borderId="3" xfId="0" applyNumberFormat="1" applyFont="1" applyBorder="1"/>
    <xf numFmtId="175" fontId="2" fillId="0" borderId="21" xfId="0" applyNumberFormat="1" applyFont="1" applyBorder="1" applyAlignment="1">
      <alignment wrapText="1"/>
    </xf>
    <xf numFmtId="175" fontId="2" fillId="0" borderId="21" xfId="0" applyNumberFormat="1" applyFont="1" applyBorder="1" applyAlignment="1">
      <alignment horizontal="right" wrapText="1"/>
    </xf>
    <xf numFmtId="175" fontId="3" fillId="0" borderId="22" xfId="2" applyNumberFormat="1" applyFont="1" applyFill="1" applyBorder="1" applyAlignment="1"/>
    <xf numFmtId="175" fontId="3" fillId="0" borderId="12" xfId="2" applyNumberFormat="1" applyFont="1" applyFill="1" applyBorder="1" applyAlignment="1"/>
    <xf numFmtId="164" fontId="28" fillId="0" borderId="0" xfId="0" applyNumberFormat="1" applyFont="1" applyAlignment="1">
      <alignment horizontal="left"/>
    </xf>
    <xf numFmtId="164" fontId="3" fillId="0" borderId="0" xfId="0" applyNumberFormat="1" applyFont="1" applyAlignment="1">
      <alignment horizontal="center"/>
    </xf>
    <xf numFmtId="0" fontId="2" fillId="4" borderId="18" xfId="0" applyFont="1" applyFill="1" applyBorder="1"/>
    <xf numFmtId="0" fontId="7" fillId="0" borderId="51" xfId="0" applyFont="1" applyBorder="1"/>
    <xf numFmtId="42" fontId="29" fillId="4" borderId="21" xfId="0" applyNumberFormat="1" applyFont="1" applyFill="1" applyBorder="1" applyAlignment="1">
      <alignment horizontal="right" wrapText="1"/>
    </xf>
    <xf numFmtId="42" fontId="29" fillId="5" borderId="21" xfId="0" applyNumberFormat="1" applyFont="1" applyFill="1" applyBorder="1" applyAlignment="1">
      <alignment horizontal="right" wrapText="1"/>
    </xf>
    <xf numFmtId="176" fontId="22" fillId="5" borderId="4" xfId="0" applyNumberFormat="1" applyFont="1" applyFill="1" applyBorder="1" applyAlignment="1">
      <alignment horizontal="right" wrapText="1"/>
    </xf>
    <xf numFmtId="42" fontId="29" fillId="0" borderId="4" xfId="0" applyNumberFormat="1" applyFont="1" applyBorder="1" applyAlignment="1">
      <alignment horizontal="right" wrapText="1"/>
    </xf>
    <xf numFmtId="0" fontId="4" fillId="5" borderId="1" xfId="0" applyFont="1" applyFill="1" applyBorder="1"/>
    <xf numFmtId="164" fontId="23" fillId="5" borderId="2" xfId="0" applyNumberFormat="1" applyFont="1" applyFill="1" applyBorder="1"/>
    <xf numFmtId="170" fontId="22" fillId="5" borderId="17" xfId="4" applyNumberFormat="1" applyFont="1" applyFill="1" applyBorder="1" applyAlignment="1">
      <alignment horizontal="center"/>
    </xf>
    <xf numFmtId="164" fontId="31" fillId="0" borderId="0" xfId="0" applyNumberFormat="1" applyFont="1"/>
    <xf numFmtId="164" fontId="30" fillId="0" borderId="0" xfId="0" applyNumberFormat="1" applyFont="1"/>
    <xf numFmtId="164" fontId="3" fillId="0" borderId="0" xfId="0" applyNumberFormat="1" applyFont="1" applyAlignment="1">
      <alignment vertical="top" wrapText="1"/>
    </xf>
    <xf numFmtId="0" fontId="7" fillId="0" borderId="10" xfId="0" applyFont="1" applyBorder="1"/>
    <xf numFmtId="0" fontId="10" fillId="0" borderId="11" xfId="0" applyFont="1" applyBorder="1"/>
    <xf numFmtId="166" fontId="10" fillId="0" borderId="11" xfId="2" applyNumberFormat="1" applyFont="1" applyFill="1" applyBorder="1" applyAlignment="1">
      <alignment horizontal="right"/>
    </xf>
    <xf numFmtId="166" fontId="10" fillId="0" borderId="11" xfId="2" applyNumberFormat="1" applyFont="1" applyFill="1" applyBorder="1"/>
    <xf numFmtId="164" fontId="3" fillId="0" borderId="0" xfId="0" applyNumberFormat="1" applyFont="1" applyAlignment="1">
      <alignment vertical="top"/>
    </xf>
    <xf numFmtId="0" fontId="13" fillId="0" borderId="13" xfId="0" applyFont="1" applyBorder="1"/>
    <xf numFmtId="166" fontId="13" fillId="0" borderId="13" xfId="2" applyNumberFormat="1" applyFont="1" applyFill="1" applyBorder="1" applyAlignment="1">
      <alignment horizontal="right"/>
    </xf>
    <xf numFmtId="166" fontId="13" fillId="0" borderId="13" xfId="2" applyNumberFormat="1" applyFont="1" applyFill="1" applyBorder="1"/>
    <xf numFmtId="166" fontId="13" fillId="0" borderId="22" xfId="2" applyNumberFormat="1" applyFont="1" applyFill="1" applyBorder="1"/>
    <xf numFmtId="164" fontId="3" fillId="0" borderId="8" xfId="0" applyNumberFormat="1" applyFont="1" applyBorder="1" applyAlignment="1">
      <alignment horizontal="right" wrapText="1"/>
    </xf>
    <xf numFmtId="0" fontId="32" fillId="0" borderId="3" xfId="0" applyFont="1" applyBorder="1" applyAlignment="1">
      <alignment horizontal="left" vertical="center"/>
    </xf>
    <xf numFmtId="0" fontId="32" fillId="0" borderId="0" xfId="0" applyFont="1" applyBorder="1" applyAlignment="1">
      <alignment horizontal="left" vertical="center"/>
    </xf>
    <xf numFmtId="3" fontId="32" fillId="0" borderId="0" xfId="0" applyNumberFormat="1" applyFont="1" applyBorder="1"/>
    <xf numFmtId="164" fontId="32" fillId="0" borderId="0" xfId="0" applyNumberFormat="1" applyFont="1"/>
    <xf numFmtId="164" fontId="23" fillId="0" borderId="8" xfId="0" applyNumberFormat="1" applyFont="1" applyBorder="1" applyAlignment="1">
      <alignment horizontal="right" wrapText="1"/>
    </xf>
    <xf numFmtId="0" fontId="23" fillId="0" borderId="3" xfId="0" applyFont="1" applyBorder="1" applyAlignment="1">
      <alignment horizontal="left" vertical="center"/>
    </xf>
    <xf numFmtId="164" fontId="23" fillId="0" borderId="0" xfId="0" applyNumberFormat="1" applyFont="1" applyBorder="1"/>
    <xf numFmtId="0" fontId="32" fillId="0" borderId="2" xfId="0" applyFont="1" applyBorder="1" applyAlignment="1">
      <alignment horizontal="left" vertical="center"/>
    </xf>
    <xf numFmtId="3" fontId="32" fillId="0" borderId="2" xfId="0" applyNumberFormat="1" applyFont="1" applyBorder="1"/>
    <xf numFmtId="3" fontId="4" fillId="0" borderId="8" xfId="0" applyNumberFormat="1" applyFont="1" applyBorder="1" applyAlignment="1">
      <alignment horizontal="center"/>
    </xf>
    <xf numFmtId="0" fontId="4" fillId="0" borderId="0" xfId="0" applyFont="1" applyBorder="1" applyAlignment="1">
      <alignment horizontal="left"/>
    </xf>
    <xf numFmtId="164" fontId="22" fillId="0" borderId="0" xfId="0" applyNumberFormat="1" applyFont="1" applyBorder="1" applyAlignment="1">
      <alignment horizontal="right" wrapText="1"/>
    </xf>
    <xf numFmtId="3" fontId="4" fillId="2" borderId="1"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165" fontId="33" fillId="2" borderId="4" xfId="0" applyNumberFormat="1" applyFont="1" applyFill="1" applyBorder="1" applyAlignment="1">
      <alignment horizontal="center" vertical="center" wrapText="1"/>
    </xf>
    <xf numFmtId="3" fontId="4" fillId="0" borderId="8" xfId="0" applyNumberFormat="1" applyFont="1" applyBorder="1"/>
    <xf numFmtId="164" fontId="23" fillId="0" borderId="7" xfId="0" applyNumberFormat="1" applyFont="1" applyBorder="1"/>
    <xf numFmtId="164" fontId="23" fillId="0" borderId="8" xfId="0" applyNumberFormat="1" applyFont="1" applyBorder="1"/>
    <xf numFmtId="164" fontId="32" fillId="0" borderId="8" xfId="0" applyNumberFormat="1" applyFont="1" applyBorder="1"/>
    <xf numFmtId="3" fontId="4" fillId="0" borderId="4" xfId="0" applyNumberFormat="1" applyFont="1" applyBorder="1" applyAlignment="1">
      <alignment vertical="center"/>
    </xf>
    <xf numFmtId="3" fontId="4" fillId="0" borderId="4" xfId="0" applyNumberFormat="1" applyFont="1" applyBorder="1"/>
    <xf numFmtId="164" fontId="0" fillId="0" borderId="6" xfId="0" applyNumberFormat="1" applyFont="1" applyBorder="1"/>
    <xf numFmtId="164" fontId="0" fillId="0" borderId="17" xfId="0" applyNumberFormat="1" applyFont="1" applyBorder="1"/>
    <xf numFmtId="164" fontId="0" fillId="0" borderId="22" xfId="0" applyNumberFormat="1" applyFont="1" applyBorder="1"/>
    <xf numFmtId="177" fontId="3" fillId="0" borderId="0" xfId="0" applyNumberFormat="1" applyFont="1"/>
    <xf numFmtId="178" fontId="3" fillId="0" borderId="0" xfId="0" applyNumberFormat="1" applyFont="1"/>
    <xf numFmtId="0" fontId="23" fillId="0" borderId="0" xfId="0" applyFont="1"/>
    <xf numFmtId="49" fontId="4" fillId="0" borderId="14" xfId="7" applyNumberFormat="1" applyFont="1" applyFill="1" applyBorder="1" applyAlignment="1">
      <alignment horizontal="center" vertical="center" wrapText="1"/>
    </xf>
    <xf numFmtId="49" fontId="4" fillId="0" borderId="81" xfId="7" applyNumberFormat="1" applyFont="1" applyFill="1" applyBorder="1" applyAlignment="1">
      <alignment horizontal="center" vertical="center" wrapText="1"/>
    </xf>
    <xf numFmtId="0" fontId="4" fillId="0" borderId="81" xfId="8" applyFont="1" applyBorder="1" applyAlignment="1">
      <alignment horizontal="center" vertical="center" wrapText="1"/>
    </xf>
    <xf numFmtId="49" fontId="4" fillId="0" borderId="82" xfId="7" applyNumberFormat="1" applyFont="1" applyFill="1" applyBorder="1" applyAlignment="1">
      <alignment horizontal="center" vertical="center" wrapText="1"/>
    </xf>
    <xf numFmtId="0" fontId="4" fillId="0" borderId="69" xfId="0" applyFont="1" applyBorder="1" applyAlignment="1">
      <alignment horizontal="center" vertical="center"/>
    </xf>
    <xf numFmtId="0" fontId="32" fillId="0" borderId="65" xfId="0" applyFont="1" applyBorder="1" applyAlignment="1">
      <alignment horizontal="center" vertical="center"/>
    </xf>
    <xf numFmtId="0" fontId="4" fillId="0" borderId="1" xfId="0" applyFont="1" applyBorder="1" applyAlignment="1">
      <alignment horizontal="center" vertical="center"/>
    </xf>
    <xf numFmtId="0" fontId="32" fillId="0" borderId="35" xfId="0" applyFont="1" applyBorder="1" applyAlignment="1">
      <alignment horizontal="center" vertical="center"/>
    </xf>
    <xf numFmtId="0" fontId="4" fillId="0" borderId="74" xfId="0" applyFont="1" applyBorder="1" applyAlignment="1">
      <alignment horizontal="center" vertical="center"/>
    </xf>
    <xf numFmtId="0" fontId="32" fillId="0" borderId="77" xfId="0" applyFont="1" applyBorder="1" applyAlignment="1">
      <alignment horizontal="center" vertical="center"/>
    </xf>
    <xf numFmtId="0" fontId="4" fillId="0" borderId="64" xfId="0" applyFont="1" applyBorder="1" applyAlignment="1">
      <alignment horizontal="center" vertical="center"/>
    </xf>
    <xf numFmtId="0" fontId="4" fillId="0" borderId="4" xfId="0" applyFont="1" applyBorder="1" applyAlignment="1">
      <alignment horizontal="center" vertical="center"/>
    </xf>
    <xf numFmtId="0" fontId="4" fillId="0" borderId="76" xfId="0" applyFont="1" applyBorder="1" applyAlignment="1">
      <alignment horizontal="center" vertical="center"/>
    </xf>
    <xf numFmtId="0" fontId="4" fillId="0" borderId="68" xfId="0" applyFont="1" applyBorder="1" applyAlignment="1">
      <alignment horizontal="center" vertical="center"/>
    </xf>
    <xf numFmtId="0" fontId="32" fillId="0" borderId="72" xfId="0" applyFont="1" applyBorder="1" applyAlignment="1">
      <alignment horizontal="center" vertical="center"/>
    </xf>
    <xf numFmtId="0" fontId="4" fillId="0" borderId="70" xfId="0" applyFont="1" applyBorder="1" applyAlignment="1">
      <alignment horizontal="center" vertical="center"/>
    </xf>
    <xf numFmtId="0" fontId="4" fillId="0" borderId="22" xfId="0" applyFont="1" applyBorder="1" applyAlignment="1">
      <alignment horizontal="center" vertical="center"/>
    </xf>
    <xf numFmtId="0" fontId="4" fillId="0" borderId="91" xfId="0" applyFont="1" applyBorder="1" applyAlignment="1">
      <alignment horizontal="center" vertical="center"/>
    </xf>
    <xf numFmtId="0" fontId="4" fillId="0" borderId="17" xfId="0" applyFont="1" applyBorder="1" applyAlignment="1">
      <alignment horizontal="center" vertical="center"/>
    </xf>
    <xf numFmtId="0" fontId="32" fillId="0" borderId="92" xfId="0" applyFont="1" applyBorder="1" applyAlignment="1">
      <alignment horizontal="center" vertical="center"/>
    </xf>
    <xf numFmtId="3" fontId="32" fillId="0" borderId="51" xfId="0" applyNumberFormat="1" applyFont="1" applyBorder="1" applyAlignment="1">
      <alignment horizontal="center" vertical="center"/>
    </xf>
    <xf numFmtId="0" fontId="36" fillId="0" borderId="0" xfId="0" applyFont="1"/>
    <xf numFmtId="164" fontId="12" fillId="0" borderId="0" xfId="0" applyNumberFormat="1" applyFont="1"/>
    <xf numFmtId="3" fontId="4" fillId="0" borderId="51" xfId="0" applyNumberFormat="1" applyFont="1" applyBorder="1" applyAlignment="1">
      <alignment horizontal="center" vertical="center"/>
    </xf>
    <xf numFmtId="0" fontId="4" fillId="8" borderId="3" xfId="0" applyFont="1" applyFill="1" applyBorder="1" applyAlignment="1">
      <alignment vertical="center"/>
    </xf>
    <xf numFmtId="0" fontId="32" fillId="8" borderId="79" xfId="0" applyFont="1" applyFill="1" applyBorder="1" applyAlignment="1">
      <alignment vertical="center"/>
    </xf>
    <xf numFmtId="0" fontId="32" fillId="8" borderId="34" xfId="0" applyFont="1" applyFill="1" applyBorder="1" applyAlignment="1">
      <alignment vertical="center"/>
    </xf>
    <xf numFmtId="0" fontId="32" fillId="8" borderId="83" xfId="0" applyFont="1" applyFill="1" applyBorder="1" applyAlignment="1">
      <alignment vertical="center"/>
    </xf>
    <xf numFmtId="0" fontId="4" fillId="0" borderId="67" xfId="0" applyFont="1" applyBorder="1" applyAlignment="1">
      <alignment horizontal="center" vertical="center"/>
    </xf>
    <xf numFmtId="0" fontId="4" fillId="8" borderId="4" xfId="0" applyFont="1" applyFill="1" applyBorder="1" applyAlignment="1">
      <alignment vertical="center"/>
    </xf>
    <xf numFmtId="0" fontId="4" fillId="8" borderId="1" xfId="0" applyFont="1" applyFill="1" applyBorder="1" applyAlignment="1">
      <alignment vertical="center"/>
    </xf>
    <xf numFmtId="0" fontId="4" fillId="8" borderId="84" xfId="0" applyFont="1" applyFill="1" applyBorder="1" applyAlignment="1">
      <alignment vertical="center"/>
    </xf>
    <xf numFmtId="3" fontId="32" fillId="0" borderId="74" xfId="0" applyNumberFormat="1" applyFont="1" applyBorder="1" applyAlignment="1">
      <alignment vertical="center"/>
    </xf>
    <xf numFmtId="3" fontId="32" fillId="0" borderId="32" xfId="0" applyNumberFormat="1" applyFont="1" applyBorder="1" applyAlignment="1">
      <alignment vertical="center"/>
    </xf>
    <xf numFmtId="0" fontId="4" fillId="8" borderId="75" xfId="0" applyFont="1" applyFill="1" applyBorder="1" applyAlignment="1">
      <alignment vertical="center"/>
    </xf>
    <xf numFmtId="0" fontId="4" fillId="0" borderId="75" xfId="0" applyFont="1" applyBorder="1" applyAlignment="1">
      <alignment horizontal="center" vertical="center"/>
    </xf>
    <xf numFmtId="0" fontId="4" fillId="8" borderId="74" xfId="0" applyFont="1" applyFill="1" applyBorder="1" applyAlignment="1">
      <alignment vertical="center"/>
    </xf>
    <xf numFmtId="0" fontId="32" fillId="0" borderId="44" xfId="0" applyFont="1" applyBorder="1" applyAlignment="1">
      <alignment horizontal="center" vertical="center"/>
    </xf>
    <xf numFmtId="0" fontId="4" fillId="8" borderId="12" xfId="0" applyFont="1" applyFill="1" applyBorder="1" applyAlignment="1">
      <alignment vertical="center"/>
    </xf>
    <xf numFmtId="0" fontId="4" fillId="8" borderId="10" xfId="0" applyFont="1" applyFill="1" applyBorder="1" applyAlignment="1">
      <alignment vertical="center"/>
    </xf>
    <xf numFmtId="0" fontId="4" fillId="8" borderId="78" xfId="0" applyFont="1" applyFill="1" applyBorder="1" applyAlignment="1">
      <alignment vertical="center"/>
    </xf>
    <xf numFmtId="3" fontId="32" fillId="0" borderId="69" xfId="0" applyNumberFormat="1" applyFont="1" applyBorder="1" applyAlignment="1">
      <alignment horizontal="right"/>
    </xf>
    <xf numFmtId="3" fontId="32" fillId="0" borderId="1" xfId="0" applyNumberFormat="1" applyFont="1" applyBorder="1" applyAlignment="1">
      <alignment horizontal="right"/>
    </xf>
    <xf numFmtId="3" fontId="32" fillId="0" borderId="4" xfId="0" applyNumberFormat="1" applyFont="1" applyBorder="1" applyAlignment="1">
      <alignment horizontal="right"/>
    </xf>
    <xf numFmtId="3" fontId="32" fillId="0" borderId="74" xfId="0" applyNumberFormat="1" applyFont="1" applyBorder="1" applyAlignment="1">
      <alignment horizontal="right"/>
    </xf>
    <xf numFmtId="3" fontId="32" fillId="0" borderId="64" xfId="0" applyNumberFormat="1" applyFont="1" applyBorder="1" applyAlignment="1">
      <alignment horizontal="center" vertical="center"/>
    </xf>
    <xf numFmtId="0" fontId="4" fillId="8" borderId="1" xfId="0" applyFont="1" applyFill="1" applyBorder="1" applyAlignment="1">
      <alignment horizontal="center" vertical="center"/>
    </xf>
    <xf numFmtId="3" fontId="32" fillId="0" borderId="4" xfId="0" applyNumberFormat="1" applyFont="1" applyBorder="1" applyAlignment="1">
      <alignment horizontal="center" vertical="center"/>
    </xf>
    <xf numFmtId="0" fontId="4" fillId="8" borderId="78" xfId="0" applyFont="1" applyFill="1" applyBorder="1" applyAlignment="1">
      <alignment horizontal="center" vertical="center"/>
    </xf>
    <xf numFmtId="3" fontId="32" fillId="0" borderId="67" xfId="0" applyNumberFormat="1" applyFont="1" applyBorder="1" applyAlignment="1">
      <alignment horizontal="left" vertical="center"/>
    </xf>
    <xf numFmtId="3" fontId="32" fillId="0" borderId="74" xfId="0" applyNumberFormat="1" applyFont="1" applyBorder="1" applyAlignment="1">
      <alignment horizontal="center" vertical="center"/>
    </xf>
    <xf numFmtId="3" fontId="32" fillId="0" borderId="67" xfId="0" applyNumberFormat="1" applyFont="1" applyBorder="1" applyAlignment="1">
      <alignment horizontal="right" vertical="center"/>
    </xf>
    <xf numFmtId="3" fontId="32" fillId="0" borderId="4" xfId="0" applyNumberFormat="1" applyFont="1" applyBorder="1" applyAlignment="1">
      <alignment horizontal="right" vertical="center"/>
    </xf>
    <xf numFmtId="0" fontId="4" fillId="8" borderId="4" xfId="0" applyFont="1" applyFill="1" applyBorder="1" applyAlignment="1">
      <alignment horizontal="center" vertical="center"/>
    </xf>
    <xf numFmtId="0" fontId="4" fillId="8" borderId="74" xfId="0" applyFont="1" applyFill="1" applyBorder="1" applyAlignment="1">
      <alignment horizontal="center" vertical="center"/>
    </xf>
    <xf numFmtId="3" fontId="32" fillId="9" borderId="74" xfId="0" applyNumberFormat="1" applyFont="1" applyFill="1" applyBorder="1" applyAlignment="1">
      <alignment horizontal="center" vertical="center"/>
    </xf>
    <xf numFmtId="3" fontId="37" fillId="10" borderId="0" xfId="1" applyNumberFormat="1" applyFont="1" applyFill="1"/>
    <xf numFmtId="168" fontId="3" fillId="0" borderId="5" xfId="2" applyNumberFormat="1" applyFont="1" applyFill="1" applyBorder="1" applyAlignment="1"/>
    <xf numFmtId="168" fontId="3" fillId="0" borderId="22" xfId="2" applyNumberFormat="1" applyFont="1" applyFill="1" applyBorder="1" applyAlignment="1"/>
    <xf numFmtId="3" fontId="37" fillId="0" borderId="0" xfId="1" applyNumberFormat="1" applyFont="1"/>
    <xf numFmtId="3" fontId="39" fillId="0" borderId="0" xfId="1" applyNumberFormat="1" applyFont="1"/>
    <xf numFmtId="3" fontId="40" fillId="0" borderId="0" xfId="1" applyNumberFormat="1" applyFont="1"/>
    <xf numFmtId="3" fontId="41" fillId="0" borderId="0" xfId="8" applyNumberFormat="1" applyFont="1"/>
    <xf numFmtId="3" fontId="42" fillId="0" borderId="0" xfId="1" applyNumberFormat="1" applyFont="1"/>
    <xf numFmtId="3" fontId="1" fillId="0" borderId="0" xfId="1" applyNumberFormat="1"/>
    <xf numFmtId="3" fontId="43" fillId="0" borderId="13" xfId="1" quotePrefix="1" applyNumberFormat="1" applyFont="1" applyBorder="1" applyAlignment="1">
      <alignment horizontal="center"/>
    </xf>
    <xf numFmtId="3" fontId="37" fillId="0" borderId="0" xfId="8" quotePrefix="1" applyNumberFormat="1" applyFont="1" applyAlignment="1">
      <alignment horizontal="left"/>
    </xf>
    <xf numFmtId="3" fontId="1" fillId="0" borderId="0" xfId="1" applyNumberFormat="1" applyAlignment="1">
      <alignment horizontal="right"/>
    </xf>
    <xf numFmtId="3" fontId="1" fillId="0" borderId="0" xfId="1" applyNumberFormat="1" applyAlignment="1">
      <alignment horizontal="center"/>
    </xf>
    <xf numFmtId="3" fontId="1" fillId="0" borderId="4" xfId="1" applyNumberFormat="1" applyBorder="1"/>
    <xf numFmtId="3" fontId="37" fillId="0" borderId="1" xfId="1" applyNumberFormat="1" applyFont="1" applyBorder="1"/>
    <xf numFmtId="3" fontId="37" fillId="0" borderId="17" xfId="1" applyNumberFormat="1" applyFont="1" applyBorder="1"/>
    <xf numFmtId="3" fontId="37" fillId="0" borderId="2" xfId="1" applyNumberFormat="1" applyFont="1" applyBorder="1"/>
    <xf numFmtId="3" fontId="37" fillId="10" borderId="2" xfId="1" applyNumberFormat="1" applyFont="1" applyFill="1" applyBorder="1" applyAlignment="1">
      <alignment vertical="center" wrapText="1"/>
    </xf>
    <xf numFmtId="3" fontId="37" fillId="5" borderId="0" xfId="1" applyNumberFormat="1" applyFont="1" applyFill="1"/>
    <xf numFmtId="3" fontId="37" fillId="0" borderId="9" xfId="1" applyNumberFormat="1" applyFont="1" applyBorder="1" applyAlignment="1">
      <alignment horizontal="center" vertical="center"/>
    </xf>
    <xf numFmtId="3" fontId="37" fillId="0" borderId="93" xfId="1" applyNumberFormat="1" applyFont="1" applyBorder="1" applyAlignment="1">
      <alignment horizontal="center" vertical="center"/>
    </xf>
    <xf numFmtId="3" fontId="37" fillId="0" borderId="0" xfId="1" applyNumberFormat="1" applyFont="1" applyAlignment="1">
      <alignment horizontal="center" vertical="center"/>
    </xf>
    <xf numFmtId="3" fontId="37" fillId="0" borderId="0" xfId="1" applyNumberFormat="1" applyFont="1" applyAlignment="1">
      <alignment horizontal="left" vertical="center"/>
    </xf>
    <xf numFmtId="3" fontId="37" fillId="10" borderId="0" xfId="1" applyNumberFormat="1" applyFont="1" applyFill="1" applyAlignment="1">
      <alignment horizontal="center" vertical="center" wrapText="1"/>
    </xf>
    <xf numFmtId="3" fontId="46" fillId="0" borderId="0" xfId="1" applyNumberFormat="1" applyFont="1"/>
    <xf numFmtId="3" fontId="37" fillId="10" borderId="4" xfId="1" applyNumberFormat="1" applyFont="1" applyFill="1" applyBorder="1" applyAlignment="1">
      <alignment horizontal="center" vertical="center"/>
    </xf>
    <xf numFmtId="3" fontId="37" fillId="10" borderId="0" xfId="1" applyNumberFormat="1" applyFont="1" applyFill="1" applyAlignment="1">
      <alignment horizontal="center" vertical="center"/>
    </xf>
    <xf numFmtId="3" fontId="47" fillId="0" borderId="0" xfId="8" applyNumberFormat="1" applyFont="1" applyAlignment="1">
      <alignment horizontal="center"/>
    </xf>
    <xf numFmtId="3" fontId="47" fillId="0" borderId="1" xfId="8" applyNumberFormat="1" applyFont="1" applyBorder="1" applyAlignment="1">
      <alignment vertical="center"/>
    </xf>
    <xf numFmtId="3" fontId="47" fillId="0" borderId="17" xfId="8" applyNumberFormat="1" applyFont="1" applyBorder="1" applyAlignment="1">
      <alignment vertical="center"/>
    </xf>
    <xf numFmtId="3" fontId="47" fillId="0" borderId="0" xfId="8" applyNumberFormat="1" applyFont="1" applyAlignment="1">
      <alignment vertical="center"/>
    </xf>
    <xf numFmtId="3" fontId="47" fillId="0" borderId="2" xfId="8" applyNumberFormat="1" applyFont="1" applyBorder="1" applyAlignment="1">
      <alignment vertical="center"/>
    </xf>
    <xf numFmtId="3" fontId="48" fillId="0" borderId="9" xfId="1" applyNumberFormat="1" applyFont="1" applyBorder="1" applyAlignment="1">
      <alignment horizontal="center" vertical="center"/>
    </xf>
    <xf numFmtId="14" fontId="49" fillId="0" borderId="93" xfId="1" applyNumberFormat="1" applyFont="1" applyBorder="1" applyAlignment="1">
      <alignment horizontal="center" vertical="center"/>
    </xf>
    <xf numFmtId="3" fontId="49" fillId="0" borderId="93" xfId="1" applyNumberFormat="1" applyFont="1" applyBorder="1" applyAlignment="1">
      <alignment horizontal="center" vertical="center"/>
    </xf>
    <xf numFmtId="3" fontId="50" fillId="0" borderId="93" xfId="1" applyNumberFormat="1" applyFont="1" applyBorder="1" applyAlignment="1">
      <alignment horizontal="center" vertical="center"/>
    </xf>
    <xf numFmtId="0" fontId="26" fillId="0" borderId="0" xfId="0" applyFont="1"/>
    <xf numFmtId="0" fontId="18" fillId="0" borderId="0" xfId="0" applyFont="1"/>
    <xf numFmtId="0" fontId="51" fillId="0" borderId="13" xfId="0" applyFont="1" applyBorder="1"/>
    <xf numFmtId="0" fontId="51" fillId="0" borderId="0" xfId="0" applyFont="1"/>
    <xf numFmtId="0" fontId="26" fillId="5" borderId="0" xfId="0" applyFont="1" applyFill="1"/>
    <xf numFmtId="0" fontId="18" fillId="5" borderId="0" xfId="0" applyFont="1" applyFill="1"/>
    <xf numFmtId="0" fontId="52" fillId="0" borderId="0" xfId="0" applyFont="1" applyAlignment="1">
      <alignment vertical="top" wrapText="1"/>
    </xf>
    <xf numFmtId="0" fontId="26" fillId="0" borderId="11" xfId="0" applyFont="1" applyBorder="1" applyAlignment="1">
      <alignment horizontal="center" vertical="center" wrapText="1"/>
    </xf>
    <xf numFmtId="0" fontId="26" fillId="0" borderId="0" xfId="0" applyFont="1" applyAlignment="1">
      <alignment wrapText="1"/>
    </xf>
    <xf numFmtId="0" fontId="12" fillId="0" borderId="0" xfId="0" applyFont="1"/>
    <xf numFmtId="0" fontId="26" fillId="0" borderId="7" xfId="0" applyFont="1" applyBorder="1" applyAlignment="1">
      <alignment horizontal="center" vertical="center" wrapText="1"/>
    </xf>
    <xf numFmtId="49" fontId="26" fillId="0" borderId="9"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3" fontId="26" fillId="0" borderId="9" xfId="0" applyNumberFormat="1" applyFont="1" applyBorder="1" applyAlignment="1">
      <alignment horizontal="right"/>
    </xf>
    <xf numFmtId="3" fontId="26" fillId="0" borderId="22" xfId="0" applyNumberFormat="1" applyFont="1" applyBorder="1" applyAlignment="1">
      <alignment horizontal="right"/>
    </xf>
    <xf numFmtId="3" fontId="26" fillId="0" borderId="12" xfId="0" applyNumberFormat="1" applyFont="1" applyBorder="1" applyAlignment="1">
      <alignment horizontal="right"/>
    </xf>
    <xf numFmtId="3" fontId="26" fillId="0" borderId="0" xfId="0" applyNumberFormat="1" applyFont="1" applyAlignment="1">
      <alignment horizontal="right"/>
    </xf>
    <xf numFmtId="0" fontId="26" fillId="0" borderId="4" xfId="0" applyFont="1" applyBorder="1" applyAlignment="1">
      <alignment horizontal="center"/>
    </xf>
    <xf numFmtId="0" fontId="26" fillId="0" borderId="4" xfId="0" applyFont="1" applyBorder="1"/>
    <xf numFmtId="0" fontId="26" fillId="5" borderId="4" xfId="0" applyFont="1" applyFill="1" applyBorder="1"/>
    <xf numFmtId="0" fontId="0" fillId="0" borderId="0" xfId="0" applyAlignment="1">
      <alignment vertical="top"/>
    </xf>
    <xf numFmtId="0" fontId="26" fillId="0" borderId="0" xfId="0" applyFont="1" applyAlignment="1">
      <alignment vertical="top"/>
    </xf>
    <xf numFmtId="0" fontId="34" fillId="0" borderId="0" xfId="0" applyFont="1"/>
    <xf numFmtId="0" fontId="53" fillId="0" borderId="0" xfId="0" applyFont="1" applyAlignment="1">
      <alignment vertical="center" wrapText="1"/>
    </xf>
    <xf numFmtId="0" fontId="53" fillId="0" borderId="11" xfId="0" applyFont="1" applyBorder="1" applyAlignment="1">
      <alignment vertical="center"/>
    </xf>
    <xf numFmtId="0" fontId="53" fillId="0" borderId="11" xfId="0" applyFont="1" applyBorder="1" applyAlignment="1">
      <alignment vertical="center" wrapText="1"/>
    </xf>
    <xf numFmtId="0" fontId="26" fillId="0" borderId="11" xfId="0" applyFont="1" applyBorder="1"/>
    <xf numFmtId="179" fontId="55" fillId="0" borderId="9" xfId="0" applyNumberFormat="1" applyFont="1" applyBorder="1"/>
    <xf numFmtId="3" fontId="55" fillId="0" borderId="9" xfId="0" applyNumberFormat="1" applyFont="1" applyBorder="1" applyAlignment="1">
      <alignment horizontal="right"/>
    </xf>
    <xf numFmtId="173" fontId="55" fillId="0" borderId="9" xfId="0" applyNumberFormat="1" applyFont="1" applyBorder="1" applyAlignment="1">
      <alignment horizontal="right"/>
    </xf>
    <xf numFmtId="3" fontId="55" fillId="0" borderId="22" xfId="0" applyNumberFormat="1" applyFont="1" applyBorder="1" applyAlignment="1">
      <alignment horizontal="right"/>
    </xf>
    <xf numFmtId="3" fontId="18" fillId="0" borderId="4" xfId="0" applyNumberFormat="1" applyFont="1" applyBorder="1"/>
    <xf numFmtId="3" fontId="56" fillId="0" borderId="0" xfId="0" applyNumberFormat="1" applyFont="1"/>
    <xf numFmtId="0" fontId="56" fillId="0" borderId="0" xfId="0" applyFont="1"/>
    <xf numFmtId="0" fontId="5" fillId="5" borderId="0" xfId="0" applyFont="1" applyFill="1"/>
    <xf numFmtId="175" fontId="0" fillId="0" borderId="0" xfId="0" applyNumberFormat="1"/>
    <xf numFmtId="180" fontId="3" fillId="0" borderId="0" xfId="0" applyNumberFormat="1" applyFont="1"/>
    <xf numFmtId="175" fontId="2" fillId="12" borderId="59" xfId="2" applyNumberFormat="1" applyFont="1" applyFill="1" applyBorder="1" applyAlignment="1"/>
    <xf numFmtId="175" fontId="3" fillId="0" borderId="6" xfId="2" applyNumberFormat="1" applyFont="1" applyFill="1" applyBorder="1" applyAlignment="1">
      <alignment horizontal="left"/>
    </xf>
    <xf numFmtId="175" fontId="3" fillId="0" borderId="0" xfId="2" applyNumberFormat="1" applyFont="1" applyFill="1" applyBorder="1" applyAlignment="1">
      <alignment horizontal="left"/>
    </xf>
    <xf numFmtId="175" fontId="2" fillId="12" borderId="94" xfId="2" applyNumberFormat="1" applyFont="1" applyFill="1" applyBorder="1" applyAlignment="1"/>
    <xf numFmtId="3" fontId="2" fillId="12" borderId="60" xfId="0" applyNumberFormat="1" applyFont="1" applyFill="1" applyBorder="1"/>
    <xf numFmtId="164" fontId="2" fillId="12" borderId="60" xfId="0" applyNumberFormat="1" applyFont="1" applyFill="1" applyBorder="1"/>
    <xf numFmtId="164" fontId="2" fillId="12" borderId="62" xfId="0" applyNumberFormat="1" applyFont="1" applyFill="1" applyBorder="1"/>
    <xf numFmtId="164" fontId="2" fillId="12" borderId="61" xfId="0" applyNumberFormat="1" applyFont="1" applyFill="1" applyBorder="1"/>
    <xf numFmtId="164" fontId="4" fillId="12" borderId="60" xfId="0" applyNumberFormat="1" applyFont="1" applyFill="1" applyBorder="1"/>
    <xf numFmtId="164" fontId="4" fillId="12" borderId="60" xfId="0" applyNumberFormat="1" applyFont="1" applyFill="1" applyBorder="1" applyAlignment="1">
      <alignment horizontal="center"/>
    </xf>
    <xf numFmtId="164" fontId="4" fillId="12" borderId="62" xfId="0" applyNumberFormat="1" applyFont="1" applyFill="1" applyBorder="1"/>
    <xf numFmtId="164" fontId="4" fillId="12" borderId="61" xfId="0" applyNumberFormat="1" applyFont="1" applyFill="1" applyBorder="1"/>
    <xf numFmtId="177" fontId="0" fillId="0" borderId="0" xfId="0" applyNumberFormat="1"/>
    <xf numFmtId="14" fontId="7" fillId="12" borderId="0" xfId="0" applyNumberFormat="1" applyFont="1" applyFill="1"/>
    <xf numFmtId="164" fontId="23" fillId="12" borderId="8" xfId="0" applyNumberFormat="1" applyFont="1" applyFill="1" applyBorder="1"/>
    <xf numFmtId="164" fontId="7" fillId="0" borderId="3" xfId="0" applyNumberFormat="1" applyFont="1" applyBorder="1" applyAlignment="1">
      <alignment horizontal="right" wrapText="1"/>
    </xf>
    <xf numFmtId="164" fontId="6" fillId="5" borderId="0" xfId="0" applyNumberFormat="1" applyFont="1" applyFill="1" applyBorder="1" applyAlignment="1">
      <alignment horizontal="center" vertical="center" wrapText="1"/>
    </xf>
    <xf numFmtId="42" fontId="11" fillId="5" borderId="0" xfId="0" applyNumberFormat="1" applyFont="1" applyFill="1" applyBorder="1" applyAlignment="1">
      <alignment horizontal="center" vertical="center" wrapText="1"/>
    </xf>
    <xf numFmtId="42" fontId="15" fillId="5" borderId="0" xfId="0" applyNumberFormat="1" applyFont="1" applyFill="1" applyBorder="1" applyAlignment="1">
      <alignment horizontal="center" vertical="center" wrapText="1"/>
    </xf>
    <xf numFmtId="164" fontId="2" fillId="12" borderId="95" xfId="0" applyNumberFormat="1" applyFont="1" applyFill="1" applyBorder="1"/>
    <xf numFmtId="0" fontId="3" fillId="0" borderId="4" xfId="0" applyFont="1" applyBorder="1" applyAlignment="1">
      <alignment horizontal="center" vertical="center"/>
    </xf>
    <xf numFmtId="42" fontId="29" fillId="4" borderId="21" xfId="0" applyNumberFormat="1" applyFont="1" applyFill="1" applyBorder="1" applyAlignment="1">
      <alignment horizontal="center" wrapText="1"/>
    </xf>
    <xf numFmtId="176" fontId="22" fillId="5" borderId="21" xfId="0" applyNumberFormat="1" applyFont="1" applyFill="1" applyBorder="1" applyAlignment="1">
      <alignment horizontal="right" wrapText="1"/>
    </xf>
    <xf numFmtId="164" fontId="0" fillId="5" borderId="21" xfId="0" applyNumberFormat="1" applyFill="1" applyBorder="1" applyAlignment="1">
      <alignment horizontal="center"/>
    </xf>
    <xf numFmtId="164" fontId="0" fillId="5" borderId="0" xfId="0" applyNumberFormat="1" applyFill="1" applyAlignment="1">
      <alignment horizontal="center"/>
    </xf>
    <xf numFmtId="164" fontId="0" fillId="5" borderId="17" xfId="0" applyNumberFormat="1" applyFill="1" applyBorder="1" applyAlignment="1">
      <alignment horizontal="center"/>
    </xf>
    <xf numFmtId="164" fontId="23" fillId="5" borderId="17" xfId="0" applyNumberFormat="1" applyFont="1" applyFill="1" applyBorder="1" applyAlignment="1">
      <alignment horizontal="center"/>
    </xf>
    <xf numFmtId="164" fontId="4" fillId="5" borderId="0" xfId="0" applyNumberFormat="1" applyFont="1" applyFill="1" applyBorder="1" applyAlignment="1">
      <alignment horizontal="center"/>
    </xf>
    <xf numFmtId="164" fontId="23" fillId="5" borderId="0" xfId="0" applyNumberFormat="1" applyFont="1" applyFill="1" applyBorder="1" applyAlignment="1">
      <alignment horizontal="center" wrapText="1"/>
    </xf>
    <xf numFmtId="164" fontId="22" fillId="5" borderId="0" xfId="0" applyNumberFormat="1" applyFont="1" applyFill="1" applyBorder="1" applyAlignment="1">
      <alignment horizontal="center" wrapText="1"/>
    </xf>
    <xf numFmtId="164" fontId="22" fillId="5" borderId="0" xfId="0" applyNumberFormat="1" applyFont="1" applyFill="1" applyBorder="1" applyAlignment="1">
      <alignment horizontal="center" vertical="center" wrapText="1"/>
    </xf>
    <xf numFmtId="164" fontId="22" fillId="5" borderId="3" xfId="0" applyNumberFormat="1" applyFont="1" applyFill="1" applyBorder="1" applyAlignment="1">
      <alignment horizontal="center" vertical="center" wrapText="1"/>
    </xf>
    <xf numFmtId="9" fontId="12" fillId="5" borderId="0" xfId="4" applyFont="1" applyFill="1" applyBorder="1"/>
    <xf numFmtId="0" fontId="3" fillId="0" borderId="1" xfId="0" applyFont="1" applyBorder="1" applyAlignment="1">
      <alignment horizontal="center" vertical="center"/>
    </xf>
    <xf numFmtId="167" fontId="3" fillId="0" borderId="0" xfId="2" applyNumberFormat="1" applyFont="1" applyFill="1" applyBorder="1" applyAlignment="1">
      <alignment horizontal="center"/>
    </xf>
    <xf numFmtId="164" fontId="3" fillId="0" borderId="0" xfId="0" applyNumberFormat="1" applyFont="1" applyFill="1"/>
    <xf numFmtId="42" fontId="3" fillId="0" borderId="0" xfId="0" applyNumberFormat="1" applyFont="1" applyFill="1"/>
    <xf numFmtId="164" fontId="57" fillId="0" borderId="0" xfId="0" applyNumberFormat="1" applyFont="1" applyFill="1"/>
    <xf numFmtId="164" fontId="58" fillId="0" borderId="0" xfId="0" applyNumberFormat="1" applyFont="1" applyFill="1"/>
    <xf numFmtId="42" fontId="58" fillId="0" borderId="0" xfId="0" applyNumberFormat="1" applyFont="1" applyFill="1"/>
    <xf numFmtId="9" fontId="22" fillId="5" borderId="17" xfId="4" applyNumberFormat="1" applyFont="1" applyFill="1" applyBorder="1" applyAlignment="1">
      <alignment horizontal="center"/>
    </xf>
    <xf numFmtId="3" fontId="32" fillId="0" borderId="15" xfId="0" applyNumberFormat="1" applyFont="1" applyFill="1" applyBorder="1" applyAlignment="1">
      <alignment horizontal="center" vertical="center"/>
    </xf>
    <xf numFmtId="3" fontId="59" fillId="0" borderId="0" xfId="0" applyNumberFormat="1" applyFont="1"/>
    <xf numFmtId="164" fontId="3" fillId="0" borderId="3" xfId="0" applyNumberFormat="1" applyFont="1" applyBorder="1"/>
    <xf numFmtId="3" fontId="32" fillId="12" borderId="4" xfId="0" applyNumberFormat="1" applyFont="1" applyFill="1" applyBorder="1" applyAlignment="1">
      <alignment horizontal="center" vertical="center"/>
    </xf>
    <xf numFmtId="3" fontId="32" fillId="12" borderId="4" xfId="0" applyNumberFormat="1" applyFont="1" applyFill="1" applyBorder="1" applyAlignment="1">
      <alignment horizontal="right" vertical="center"/>
    </xf>
    <xf numFmtId="164" fontId="23" fillId="12" borderId="7" xfId="0" applyNumberFormat="1" applyFont="1" applyFill="1" applyBorder="1"/>
    <xf numFmtId="0" fontId="33" fillId="0" borderId="0" xfId="0" applyFont="1"/>
    <xf numFmtId="177" fontId="58" fillId="0" borderId="0" xfId="0" applyNumberFormat="1" applyFont="1"/>
    <xf numFmtId="4" fontId="60" fillId="0" borderId="0" xfId="0" applyNumberFormat="1" applyFont="1"/>
    <xf numFmtId="7" fontId="58" fillId="0" borderId="0" xfId="4" applyNumberFormat="1" applyFont="1"/>
    <xf numFmtId="167" fontId="58" fillId="12" borderId="0" xfId="2" applyNumberFormat="1" applyFont="1" applyFill="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center" vertical="center"/>
    </xf>
    <xf numFmtId="0" fontId="32" fillId="0" borderId="65" xfId="0" applyFont="1" applyFill="1" applyBorder="1" applyAlignment="1">
      <alignment horizontal="center" vertical="center"/>
    </xf>
    <xf numFmtId="3" fontId="32" fillId="0" borderId="1" xfId="0" applyNumberFormat="1" applyFont="1" applyFill="1" applyBorder="1" applyAlignment="1">
      <alignment horizontal="center"/>
    </xf>
    <xf numFmtId="0" fontId="32" fillId="0" borderId="35" xfId="0" applyFont="1" applyFill="1" applyBorder="1" applyAlignment="1">
      <alignment horizontal="center" vertical="center"/>
    </xf>
    <xf numFmtId="0" fontId="32" fillId="0" borderId="77" xfId="0" applyFont="1" applyFill="1" applyBorder="1" applyAlignment="1">
      <alignment horizontal="center" vertical="center"/>
    </xf>
    <xf numFmtId="3" fontId="4" fillId="0" borderId="15" xfId="0" applyNumberFormat="1" applyFont="1" applyFill="1" applyBorder="1" applyAlignment="1">
      <alignment horizontal="center" vertical="center"/>
    </xf>
    <xf numFmtId="3" fontId="32" fillId="0" borderId="2" xfId="0" applyNumberFormat="1" applyFont="1" applyFill="1" applyBorder="1" applyAlignment="1">
      <alignment horizontal="center"/>
    </xf>
    <xf numFmtId="164" fontId="4" fillId="0" borderId="60" xfId="0" applyNumberFormat="1" applyFont="1" applyFill="1" applyBorder="1" applyAlignment="1">
      <alignment horizontal="center"/>
    </xf>
    <xf numFmtId="3" fontId="32" fillId="0" borderId="13" xfId="0" applyNumberFormat="1" applyFont="1" applyFill="1" applyBorder="1" applyAlignment="1">
      <alignment horizontal="center"/>
    </xf>
    <xf numFmtId="0" fontId="32" fillId="0" borderId="71" xfId="0" applyFont="1" applyFill="1" applyBorder="1" applyAlignment="1">
      <alignment horizontal="center" vertical="center"/>
    </xf>
    <xf numFmtId="3" fontId="35" fillId="0" borderId="13" xfId="0" applyNumberFormat="1" applyFont="1" applyFill="1" applyBorder="1" applyAlignment="1"/>
    <xf numFmtId="3" fontId="32" fillId="0" borderId="32" xfId="0" applyNumberFormat="1" applyFont="1" applyFill="1" applyBorder="1" applyAlignment="1">
      <alignment horizontal="center"/>
    </xf>
    <xf numFmtId="0" fontId="4" fillId="0" borderId="82" xfId="0" applyFont="1" applyFill="1" applyBorder="1" applyAlignment="1">
      <alignment horizontal="center" vertical="center"/>
    </xf>
    <xf numFmtId="0" fontId="32" fillId="0" borderId="82" xfId="0" applyFont="1" applyFill="1" applyBorder="1" applyAlignment="1">
      <alignment horizontal="center" vertical="center"/>
    </xf>
    <xf numFmtId="3" fontId="32" fillId="0" borderId="63" xfId="0" applyNumberFormat="1" applyFont="1" applyFill="1" applyBorder="1" applyAlignment="1">
      <alignment horizontal="center"/>
    </xf>
    <xf numFmtId="0" fontId="4" fillId="0" borderId="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7" xfId="0" applyFont="1" applyFill="1" applyBorder="1" applyAlignment="1">
      <alignment horizontal="center" vertical="center"/>
    </xf>
    <xf numFmtId="0" fontId="32" fillId="0" borderId="66" xfId="0" applyFont="1" applyFill="1" applyBorder="1" applyAlignment="1">
      <alignment vertical="center"/>
    </xf>
    <xf numFmtId="0" fontId="32" fillId="0" borderId="66" xfId="0" applyFont="1" applyFill="1" applyBorder="1" applyAlignment="1">
      <alignment vertical="center" wrapText="1"/>
    </xf>
    <xf numFmtId="0" fontId="32" fillId="0" borderId="90" xfId="0" applyFont="1" applyFill="1" applyBorder="1" applyAlignment="1">
      <alignment vertical="center"/>
    </xf>
    <xf numFmtId="0" fontId="4" fillId="0" borderId="13" xfId="0" applyFont="1" applyFill="1" applyBorder="1" applyAlignment="1">
      <alignment horizontal="center" vertical="center"/>
    </xf>
    <xf numFmtId="3" fontId="32" fillId="0" borderId="12" xfId="0" applyNumberFormat="1" applyFont="1" applyFill="1" applyBorder="1" applyAlignment="1">
      <alignment horizontal="center"/>
    </xf>
    <xf numFmtId="0" fontId="32" fillId="0" borderId="99" xfId="0" applyFont="1" applyFill="1" applyBorder="1" applyAlignment="1">
      <alignment vertical="center" wrapText="1"/>
    </xf>
    <xf numFmtId="0" fontId="4" fillId="0" borderId="0" xfId="0" applyFont="1" applyFill="1" applyBorder="1" applyAlignment="1">
      <alignment horizontal="center" vertical="center"/>
    </xf>
    <xf numFmtId="3" fontId="32" fillId="0" borderId="3" xfId="0" applyNumberFormat="1" applyFont="1" applyFill="1" applyBorder="1" applyAlignment="1">
      <alignment horizontal="center"/>
    </xf>
    <xf numFmtId="0" fontId="32" fillId="0" borderId="72" xfId="0" applyFont="1" applyFill="1" applyBorder="1" applyAlignment="1">
      <alignment horizontal="center" vertical="center"/>
    </xf>
    <xf numFmtId="0" fontId="32" fillId="0" borderId="90" xfId="0" applyFont="1" applyFill="1" applyBorder="1" applyAlignment="1">
      <alignment vertical="center" wrapText="1"/>
    </xf>
    <xf numFmtId="3" fontId="32" fillId="0" borderId="13" xfId="0" applyNumberFormat="1" applyFont="1" applyFill="1" applyBorder="1" applyAlignment="1">
      <alignment horizontal="center" vertical="center"/>
    </xf>
    <xf numFmtId="0" fontId="4" fillId="0" borderId="100" xfId="0" applyFont="1" applyFill="1" applyBorder="1" applyAlignment="1">
      <alignment vertical="center"/>
    </xf>
    <xf numFmtId="0" fontId="4" fillId="0" borderId="6" xfId="0" applyFont="1" applyFill="1" applyBorder="1" applyAlignment="1">
      <alignment horizontal="center" vertical="center"/>
    </xf>
    <xf numFmtId="3" fontId="32" fillId="0" borderId="0" xfId="0" applyNumberFormat="1" applyFont="1" applyFill="1" applyBorder="1" applyAlignment="1">
      <alignment horizontal="center"/>
    </xf>
    <xf numFmtId="3" fontId="32" fillId="0" borderId="0" xfId="0" applyNumberFormat="1" applyFont="1" applyFill="1" applyBorder="1" applyAlignment="1">
      <alignment horizontal="center" vertical="center"/>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4" fillId="0" borderId="100" xfId="0" applyFont="1" applyFill="1" applyBorder="1" applyAlignment="1">
      <alignment vertical="center" wrapText="1"/>
    </xf>
    <xf numFmtId="0" fontId="4" fillId="0" borderId="73" xfId="0" applyFont="1" applyFill="1" applyBorder="1" applyAlignment="1">
      <alignment vertical="center" wrapText="1"/>
    </xf>
    <xf numFmtId="0" fontId="4" fillId="0" borderId="77" xfId="0" applyFont="1" applyFill="1" applyBorder="1" applyAlignment="1">
      <alignment horizontal="center" vertical="center"/>
    </xf>
    <xf numFmtId="0" fontId="32" fillId="0" borderId="80" xfId="0" applyFont="1" applyFill="1" applyBorder="1" applyAlignment="1">
      <alignment vertical="center" wrapText="1"/>
    </xf>
    <xf numFmtId="0" fontId="32" fillId="0" borderId="85" xfId="0" applyFont="1" applyFill="1" applyBorder="1" applyAlignment="1">
      <alignment vertical="center" wrapText="1"/>
    </xf>
    <xf numFmtId="0" fontId="4" fillId="0" borderId="6" xfId="0" applyFont="1" applyBorder="1" applyAlignment="1">
      <alignment horizontal="center" vertical="center"/>
    </xf>
    <xf numFmtId="3" fontId="32" fillId="0" borderId="102" xfId="0" applyNumberFormat="1" applyFont="1" applyBorder="1" applyAlignment="1">
      <alignment horizontal="center" vertical="center"/>
    </xf>
    <xf numFmtId="3" fontId="32" fillId="0" borderId="54" xfId="0" applyNumberFormat="1" applyFont="1" applyBorder="1" applyAlignment="1">
      <alignment horizontal="center" vertical="center"/>
    </xf>
    <xf numFmtId="0" fontId="23" fillId="0" borderId="90" xfId="0" applyFont="1" applyFill="1" applyBorder="1" applyAlignment="1">
      <alignment vertical="center"/>
    </xf>
    <xf numFmtId="0" fontId="23" fillId="0" borderId="66" xfId="0" applyFont="1" applyFill="1" applyBorder="1" applyAlignment="1">
      <alignment vertical="center"/>
    </xf>
    <xf numFmtId="0" fontId="22" fillId="0" borderId="66" xfId="0" applyFont="1" applyFill="1" applyBorder="1" applyAlignment="1">
      <alignment vertical="center"/>
    </xf>
    <xf numFmtId="0" fontId="23" fillId="0" borderId="66" xfId="0" applyFont="1" applyFill="1" applyBorder="1" applyAlignment="1">
      <alignment vertical="center" wrapText="1"/>
    </xf>
    <xf numFmtId="0" fontId="23" fillId="0" borderId="99" xfId="0" applyFont="1" applyFill="1" applyBorder="1" applyAlignment="1">
      <alignment vertical="center" wrapText="1"/>
    </xf>
    <xf numFmtId="0" fontId="32" fillId="0" borderId="66" xfId="0" applyFont="1" applyFill="1" applyBorder="1" applyAlignment="1">
      <alignment horizontal="left" vertical="center" wrapText="1"/>
    </xf>
    <xf numFmtId="3" fontId="32" fillId="0" borderId="98" xfId="0" applyNumberFormat="1" applyFont="1" applyBorder="1" applyAlignment="1">
      <alignment horizontal="center" vertical="center"/>
    </xf>
    <xf numFmtId="3" fontId="4" fillId="0" borderId="16" xfId="0" applyNumberFormat="1" applyFont="1" applyBorder="1" applyAlignment="1">
      <alignment horizontal="center" vertical="center"/>
    </xf>
    <xf numFmtId="0" fontId="4" fillId="0" borderId="98" xfId="0" applyFont="1" applyBorder="1" applyAlignment="1">
      <alignment horizontal="center" vertical="center"/>
    </xf>
    <xf numFmtId="0" fontId="22" fillId="0" borderId="98" xfId="0" applyFont="1" applyFill="1" applyBorder="1" applyAlignment="1">
      <alignment vertical="center"/>
    </xf>
    <xf numFmtId="0" fontId="32" fillId="0" borderId="16" xfId="0" applyFont="1" applyBorder="1" applyAlignment="1">
      <alignment horizontal="center" vertical="center"/>
    </xf>
    <xf numFmtId="3" fontId="4" fillId="0" borderId="98" xfId="0" applyNumberFormat="1" applyFont="1" applyBorder="1" applyAlignment="1">
      <alignment horizontal="center" vertical="center"/>
    </xf>
    <xf numFmtId="0" fontId="4" fillId="8" borderId="17" xfId="0" applyFont="1" applyFill="1" applyBorder="1" applyAlignment="1">
      <alignment vertical="center"/>
    </xf>
    <xf numFmtId="0" fontId="4" fillId="0" borderId="98"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4" fillId="0" borderId="63" xfId="0" applyFont="1" applyBorder="1" applyAlignment="1">
      <alignment horizontal="center" vertical="center"/>
    </xf>
    <xf numFmtId="0" fontId="4" fillId="0" borderId="2" xfId="0" applyFont="1" applyBorder="1" applyAlignment="1">
      <alignment horizontal="center" vertical="center"/>
    </xf>
    <xf numFmtId="0" fontId="4" fillId="8" borderId="0" xfId="0" applyFont="1" applyFill="1" applyBorder="1" applyAlignment="1">
      <alignment vertical="center"/>
    </xf>
    <xf numFmtId="0" fontId="32" fillId="0" borderId="105" xfId="0" applyFont="1" applyFill="1" applyBorder="1" applyAlignment="1">
      <alignment vertical="center" wrapText="1"/>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7" xfId="0" applyFont="1" applyFill="1" applyBorder="1" applyAlignment="1">
      <alignment horizontal="center"/>
    </xf>
    <xf numFmtId="3" fontId="3" fillId="0" borderId="0" xfId="0" applyNumberFormat="1" applyFont="1" applyAlignment="1">
      <alignment horizontal="left" vertical="center" wrapText="1"/>
    </xf>
    <xf numFmtId="164" fontId="2" fillId="0" borderId="0" xfId="0" applyNumberFormat="1" applyFont="1" applyAlignment="1">
      <alignment horizontal="left" vertical="center" wrapText="1"/>
    </xf>
    <xf numFmtId="3" fontId="2" fillId="0" borderId="0" xfId="0" applyNumberFormat="1" applyFont="1" applyAlignment="1">
      <alignment horizontal="left" vertical="top" wrapText="1"/>
    </xf>
    <xf numFmtId="166" fontId="3" fillId="12" borderId="1" xfId="2" applyNumberFormat="1" applyFont="1" applyFill="1" applyBorder="1" applyAlignment="1">
      <alignment horizontal="center"/>
    </xf>
    <xf numFmtId="166" fontId="3" fillId="12" borderId="17" xfId="2" applyNumberFormat="1" applyFont="1" applyFill="1" applyBorder="1" applyAlignment="1">
      <alignment horizontal="center"/>
    </xf>
    <xf numFmtId="164" fontId="2" fillId="0" borderId="1" xfId="0" applyNumberFormat="1" applyFont="1" applyBorder="1" applyAlignment="1">
      <alignment horizontal="center" vertical="center"/>
    </xf>
    <xf numFmtId="164" fontId="2" fillId="0" borderId="17" xfId="0" applyNumberFormat="1" applyFont="1" applyBorder="1" applyAlignment="1">
      <alignment horizontal="center" vertical="center"/>
    </xf>
    <xf numFmtId="164" fontId="3" fillId="0" borderId="0" xfId="0" applyNumberFormat="1" applyFont="1" applyAlignment="1">
      <alignment horizontal="justify" vertical="top" wrapText="1"/>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175" fontId="3" fillId="0" borderId="10" xfId="2" applyNumberFormat="1" applyFont="1" applyFill="1" applyBorder="1" applyAlignment="1">
      <alignment horizontal="center"/>
    </xf>
    <xf numFmtId="175" fontId="3" fillId="0" borderId="5" xfId="2" applyNumberFormat="1" applyFont="1" applyFill="1" applyBorder="1" applyAlignment="1">
      <alignment horizontal="center"/>
    </xf>
    <xf numFmtId="175" fontId="3" fillId="0" borderId="3" xfId="2" applyNumberFormat="1" applyFont="1" applyFill="1" applyBorder="1" applyAlignment="1">
      <alignment horizontal="center"/>
    </xf>
    <xf numFmtId="175" fontId="3" fillId="0" borderId="6" xfId="2" applyNumberFormat="1" applyFont="1" applyFill="1" applyBorder="1" applyAlignment="1">
      <alignment horizontal="center"/>
    </xf>
    <xf numFmtId="175" fontId="2" fillId="0" borderId="18" xfId="0" applyNumberFormat="1" applyFont="1" applyBorder="1" applyAlignment="1">
      <alignment horizontal="center" wrapText="1"/>
    </xf>
    <xf numFmtId="175" fontId="2" fillId="0" borderId="20" xfId="0" applyNumberFormat="1" applyFont="1" applyBorder="1" applyAlignment="1">
      <alignment horizontal="center" wrapText="1"/>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26"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46" xfId="0" applyFont="1" applyFill="1" applyBorder="1" applyAlignment="1">
      <alignment horizontal="left" vertical="center" wrapText="1"/>
    </xf>
    <xf numFmtId="164" fontId="6" fillId="2" borderId="14" xfId="0" applyNumberFormat="1"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6" xfId="0" applyNumberFormat="1" applyFont="1" applyFill="1" applyBorder="1" applyAlignment="1">
      <alignment horizontal="center" vertical="center" wrapText="1"/>
    </xf>
    <xf numFmtId="164" fontId="32" fillId="0" borderId="10" xfId="0" applyNumberFormat="1" applyFont="1" applyBorder="1" applyAlignment="1">
      <alignment horizontal="left" vertical="center" wrapText="1"/>
    </xf>
    <xf numFmtId="164" fontId="32" fillId="0" borderId="11" xfId="0" applyNumberFormat="1" applyFont="1" applyBorder="1" applyAlignment="1">
      <alignment horizontal="left" vertical="center" wrapText="1"/>
    </xf>
    <xf numFmtId="164" fontId="32" fillId="0" borderId="5" xfId="0" applyNumberFormat="1" applyFont="1" applyBorder="1" applyAlignment="1">
      <alignment horizontal="left" vertical="center" wrapText="1"/>
    </xf>
    <xf numFmtId="164" fontId="32" fillId="0" borderId="12" xfId="0" applyNumberFormat="1" applyFont="1" applyBorder="1" applyAlignment="1">
      <alignment horizontal="left" vertical="center" wrapText="1"/>
    </xf>
    <xf numFmtId="164" fontId="32" fillId="0" borderId="13" xfId="0" applyNumberFormat="1" applyFont="1" applyBorder="1" applyAlignment="1">
      <alignment horizontal="left" vertical="center" wrapText="1"/>
    </xf>
    <xf numFmtId="164" fontId="32" fillId="0" borderId="22" xfId="0" applyNumberFormat="1" applyFont="1" applyBorder="1" applyAlignment="1">
      <alignment horizontal="left" vertical="center" wrapText="1"/>
    </xf>
    <xf numFmtId="164" fontId="5" fillId="2" borderId="14" xfId="0" applyNumberFormat="1" applyFont="1" applyFill="1" applyBorder="1" applyAlignment="1">
      <alignment horizontal="center" vertical="center" wrapText="1"/>
    </xf>
    <xf numFmtId="164" fontId="5" fillId="2" borderId="15" xfId="0" applyNumberFormat="1" applyFont="1" applyFill="1" applyBorder="1" applyAlignment="1">
      <alignment horizontal="center" vertical="center" wrapText="1"/>
    </xf>
    <xf numFmtId="164" fontId="5" fillId="2" borderId="16" xfId="0" applyNumberFormat="1" applyFont="1" applyFill="1" applyBorder="1" applyAlignment="1">
      <alignment horizontal="center" vertical="center" wrapText="1"/>
    </xf>
    <xf numFmtId="164" fontId="22" fillId="0" borderId="7" xfId="0" applyNumberFormat="1" applyFont="1" applyBorder="1" applyAlignment="1">
      <alignment horizontal="right" vertical="center" wrapText="1"/>
    </xf>
    <xf numFmtId="164" fontId="22" fillId="0" borderId="9" xfId="0" applyNumberFormat="1" applyFont="1" applyBorder="1" applyAlignment="1">
      <alignment horizontal="right" vertical="center" wrapText="1"/>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3" fillId="0" borderId="0" xfId="0" applyFont="1" applyAlignment="1">
      <alignment horizont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22" fillId="0" borderId="25"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164" fontId="5" fillId="2" borderId="14" xfId="0" applyNumberFormat="1" applyFont="1" applyFill="1" applyBorder="1" applyAlignment="1">
      <alignment horizontal="center" vertical="center"/>
    </xf>
    <xf numFmtId="164" fontId="5" fillId="2" borderId="15" xfId="0" applyNumberFormat="1" applyFont="1" applyFill="1" applyBorder="1" applyAlignment="1">
      <alignment horizontal="center" vertical="center"/>
    </xf>
    <xf numFmtId="164" fontId="5" fillId="2" borderId="16" xfId="0" applyNumberFormat="1" applyFont="1" applyFill="1" applyBorder="1" applyAlignment="1">
      <alignment horizontal="center" vertical="center"/>
    </xf>
    <xf numFmtId="0" fontId="54" fillId="0" borderId="24"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25"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3" fontId="4" fillId="2" borderId="10" xfId="0" applyNumberFormat="1" applyFont="1" applyFill="1" applyBorder="1" applyAlignment="1">
      <alignment horizontal="center" vertical="center"/>
    </xf>
    <xf numFmtId="3" fontId="4" fillId="2" borderId="11"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3" fontId="4" fillId="2" borderId="12"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3" fontId="4" fillId="2" borderId="22" xfId="0"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3" fontId="4" fillId="2" borderId="8" xfId="0" applyNumberFormat="1" applyFont="1" applyFill="1" applyBorder="1" applyAlignment="1">
      <alignment horizontal="center" vertical="center"/>
    </xf>
    <xf numFmtId="3" fontId="4" fillId="2" borderId="9" xfId="0" applyNumberFormat="1" applyFont="1" applyFill="1" applyBorder="1" applyAlignment="1">
      <alignment horizontal="center" vertical="center"/>
    </xf>
    <xf numFmtId="3" fontId="4" fillId="2" borderId="4" xfId="0" applyNumberFormat="1" applyFont="1" applyFill="1" applyBorder="1" applyAlignment="1">
      <alignment horizontal="center" vertical="center"/>
    </xf>
    <xf numFmtId="3" fontId="4" fillId="2" borderId="4" xfId="0" applyNumberFormat="1" applyFont="1" applyFill="1" applyBorder="1" applyAlignment="1">
      <alignment horizontal="center" vertical="center" wrapText="1"/>
    </xf>
    <xf numFmtId="0" fontId="4" fillId="0" borderId="7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Border="1" applyAlignment="1">
      <alignment horizontal="center" vertical="center"/>
    </xf>
    <xf numFmtId="0" fontId="4" fillId="0" borderId="2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wrapText="1"/>
    </xf>
    <xf numFmtId="0" fontId="4" fillId="0" borderId="16" xfId="0" applyFont="1" applyBorder="1" applyAlignment="1">
      <alignment horizont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9" fillId="0" borderId="1" xfId="0" applyFont="1" applyBorder="1" applyAlignment="1">
      <alignment horizontal="center"/>
    </xf>
    <xf numFmtId="0" fontId="9" fillId="0" borderId="17" xfId="0" applyFont="1" applyBorder="1" applyAlignment="1">
      <alignment horizontal="center"/>
    </xf>
    <xf numFmtId="0" fontId="9" fillId="0" borderId="2" xfId="0" applyFont="1" applyBorder="1" applyAlignment="1">
      <alignment horizontal="center"/>
    </xf>
    <xf numFmtId="3" fontId="47" fillId="0" borderId="0" xfId="8" applyNumberFormat="1" applyFont="1" applyAlignment="1">
      <alignment horizontal="left" vertical="center"/>
    </xf>
    <xf numFmtId="3" fontId="47" fillId="0" borderId="1" xfId="8" applyNumberFormat="1" applyFont="1" applyBorder="1" applyAlignment="1">
      <alignment horizontal="center"/>
    </xf>
    <xf numFmtId="3" fontId="47" fillId="0" borderId="17" xfId="8" applyNumberFormat="1" applyFont="1" applyBorder="1" applyAlignment="1">
      <alignment horizontal="center"/>
    </xf>
    <xf numFmtId="3" fontId="47" fillId="0" borderId="4" xfId="8" applyNumberFormat="1" applyFont="1" applyBorder="1" applyAlignment="1">
      <alignment horizontal="center"/>
    </xf>
    <xf numFmtId="3" fontId="49" fillId="0" borderId="1" xfId="1" quotePrefix="1" applyNumberFormat="1" applyFont="1" applyBorder="1" applyAlignment="1">
      <alignment horizontal="center"/>
    </xf>
    <xf numFmtId="3" fontId="49" fillId="0" borderId="17" xfId="1" quotePrefix="1" applyNumberFormat="1" applyFont="1" applyBorder="1" applyAlignment="1">
      <alignment horizontal="center"/>
    </xf>
    <xf numFmtId="3" fontId="49" fillId="0" borderId="1" xfId="1" applyNumberFormat="1" applyFont="1" applyBorder="1" applyAlignment="1">
      <alignment horizontal="center"/>
    </xf>
    <xf numFmtId="3" fontId="49" fillId="0" borderId="2" xfId="1" applyNumberFormat="1" applyFont="1" applyBorder="1" applyAlignment="1">
      <alignment horizontal="center"/>
    </xf>
    <xf numFmtId="3" fontId="49" fillId="0" borderId="17" xfId="1" applyNumberFormat="1" applyFont="1" applyBorder="1" applyAlignment="1">
      <alignment horizontal="center"/>
    </xf>
    <xf numFmtId="3" fontId="42" fillId="0" borderId="4" xfId="1" applyNumberFormat="1" applyFont="1" applyBorder="1" applyAlignment="1">
      <alignment horizontal="center" vertical="center" wrapText="1"/>
    </xf>
    <xf numFmtId="3" fontId="37" fillId="10" borderId="4" xfId="1" applyNumberFormat="1" applyFont="1" applyFill="1" applyBorder="1" applyAlignment="1">
      <alignment horizontal="center" vertical="center" wrapText="1"/>
    </xf>
    <xf numFmtId="3" fontId="42" fillId="0" borderId="1" xfId="1" applyNumberFormat="1" applyFont="1" applyBorder="1" applyAlignment="1">
      <alignment horizontal="center" vertical="center" wrapText="1"/>
    </xf>
    <xf numFmtId="3" fontId="42" fillId="0" borderId="17" xfId="1" applyNumberFormat="1" applyFont="1" applyBorder="1" applyAlignment="1">
      <alignment horizontal="center" vertical="center" wrapText="1"/>
    </xf>
    <xf numFmtId="3" fontId="37" fillId="0" borderId="1" xfId="8" applyNumberFormat="1" applyFont="1" applyBorder="1" applyAlignment="1">
      <alignment horizontal="center" vertical="center"/>
    </xf>
    <xf numFmtId="3" fontId="37" fillId="0" borderId="2" xfId="8" applyNumberFormat="1" applyFont="1" applyBorder="1" applyAlignment="1">
      <alignment horizontal="center" vertical="center"/>
    </xf>
    <xf numFmtId="3" fontId="37" fillId="0" borderId="17" xfId="8" applyNumberFormat="1" applyFont="1" applyBorder="1" applyAlignment="1">
      <alignment horizontal="center" vertical="center"/>
    </xf>
    <xf numFmtId="3" fontId="37" fillId="0" borderId="4" xfId="1" applyNumberFormat="1" applyFont="1" applyBorder="1" applyAlignment="1">
      <alignment horizontal="center" vertical="center" wrapText="1"/>
    </xf>
    <xf numFmtId="3" fontId="37" fillId="0" borderId="4" xfId="1" applyNumberFormat="1" applyFont="1" applyBorder="1" applyAlignment="1">
      <alignment horizontal="center"/>
    </xf>
    <xf numFmtId="3" fontId="37" fillId="10" borderId="7" xfId="1" applyNumberFormat="1" applyFont="1" applyFill="1" applyBorder="1" applyAlignment="1">
      <alignment horizontal="center" vertical="center" wrapText="1"/>
    </xf>
    <xf numFmtId="3" fontId="37" fillId="10" borderId="8" xfId="1" applyNumberFormat="1" applyFont="1" applyFill="1" applyBorder="1" applyAlignment="1">
      <alignment horizontal="center" vertical="center" wrapText="1"/>
    </xf>
    <xf numFmtId="3" fontId="37" fillId="10" borderId="9" xfId="1" applyNumberFormat="1" applyFont="1" applyFill="1" applyBorder="1" applyAlignment="1">
      <alignment horizontal="center" vertical="center" wrapText="1"/>
    </xf>
    <xf numFmtId="3" fontId="42" fillId="10" borderId="7" xfId="1" applyNumberFormat="1" applyFont="1" applyFill="1" applyBorder="1" applyAlignment="1">
      <alignment horizontal="center" vertical="center" wrapText="1"/>
    </xf>
    <xf numFmtId="3" fontId="42" fillId="10" borderId="8" xfId="1" applyNumberFormat="1" applyFont="1" applyFill="1" applyBorder="1" applyAlignment="1">
      <alignment horizontal="center" vertical="center" wrapText="1"/>
    </xf>
    <xf numFmtId="3" fontId="42" fillId="10" borderId="9" xfId="1" applyNumberFormat="1" applyFont="1" applyFill="1" applyBorder="1" applyAlignment="1">
      <alignment horizontal="center" vertical="center" wrapText="1"/>
    </xf>
    <xf numFmtId="3" fontId="42" fillId="0" borderId="7" xfId="1" applyNumberFormat="1" applyFont="1" applyBorder="1" applyAlignment="1">
      <alignment horizontal="center" vertical="center" wrapText="1"/>
    </xf>
    <xf numFmtId="3" fontId="42" fillId="0" borderId="8" xfId="1" applyNumberFormat="1" applyFont="1" applyBorder="1" applyAlignment="1">
      <alignment horizontal="center" vertical="center" wrapText="1"/>
    </xf>
    <xf numFmtId="3" fontId="42" fillId="0" borderId="9" xfId="1" applyNumberFormat="1" applyFont="1" applyBorder="1" applyAlignment="1">
      <alignment horizontal="center" vertical="center" wrapText="1"/>
    </xf>
    <xf numFmtId="3" fontId="42" fillId="0" borderId="5" xfId="1" applyNumberFormat="1" applyFont="1" applyBorder="1" applyAlignment="1">
      <alignment horizontal="center" vertical="center" wrapText="1"/>
    </xf>
    <xf numFmtId="3" fontId="42" fillId="0" borderId="6" xfId="1" applyNumberFormat="1" applyFont="1" applyBorder="1" applyAlignment="1">
      <alignment horizontal="center" vertical="center" wrapText="1"/>
    </xf>
    <xf numFmtId="3" fontId="42" fillId="0" borderId="22" xfId="1" applyNumberFormat="1" applyFont="1" applyBorder="1" applyAlignment="1">
      <alignment horizontal="center" vertical="center" wrapText="1"/>
    </xf>
    <xf numFmtId="3" fontId="42" fillId="0" borderId="10" xfId="1" applyNumberFormat="1" applyFont="1" applyBorder="1" applyAlignment="1">
      <alignment horizontal="center" vertical="center" wrapText="1"/>
    </xf>
    <xf numFmtId="3" fontId="42" fillId="0" borderId="3" xfId="1" applyNumberFormat="1" applyFont="1" applyBorder="1" applyAlignment="1">
      <alignment horizontal="center" vertical="center" wrapText="1"/>
    </xf>
    <xf numFmtId="3" fontId="42" fillId="0" borderId="12" xfId="1" applyNumberFormat="1" applyFont="1" applyBorder="1" applyAlignment="1">
      <alignment horizontal="center" vertical="center" wrapText="1"/>
    </xf>
    <xf numFmtId="3" fontId="37" fillId="0" borderId="7" xfId="1" applyNumberFormat="1" applyFont="1" applyBorder="1" applyAlignment="1">
      <alignment horizontal="center" vertical="center" wrapText="1"/>
    </xf>
    <xf numFmtId="3" fontId="37" fillId="0" borderId="8" xfId="1" applyNumberFormat="1" applyFont="1" applyBorder="1" applyAlignment="1">
      <alignment horizontal="center" vertical="center" wrapText="1"/>
    </xf>
    <xf numFmtId="3" fontId="37" fillId="0" borderId="9" xfId="1" applyNumberFormat="1" applyFont="1" applyBorder="1" applyAlignment="1">
      <alignment horizontal="center" vertical="center" wrapText="1"/>
    </xf>
    <xf numFmtId="3" fontId="37" fillId="5" borderId="4" xfId="1" applyNumberFormat="1" applyFont="1" applyFill="1" applyBorder="1" applyAlignment="1">
      <alignment horizontal="center" vertical="center" wrapText="1"/>
    </xf>
    <xf numFmtId="3" fontId="37" fillId="10" borderId="1" xfId="1" applyNumberFormat="1" applyFont="1" applyFill="1" applyBorder="1" applyAlignment="1">
      <alignment horizontal="center" vertical="center" wrapText="1"/>
    </xf>
    <xf numFmtId="3" fontId="37" fillId="10" borderId="2" xfId="1" applyNumberFormat="1" applyFont="1" applyFill="1" applyBorder="1" applyAlignment="1">
      <alignment horizontal="center" vertical="center" wrapText="1"/>
    </xf>
    <xf numFmtId="3" fontId="37" fillId="10" borderId="17" xfId="1" applyNumberFormat="1" applyFont="1" applyFill="1" applyBorder="1" applyAlignment="1">
      <alignment horizontal="center" vertical="center" wrapText="1"/>
    </xf>
    <xf numFmtId="3" fontId="42" fillId="0" borderId="1" xfId="1" applyNumberFormat="1" applyFont="1" applyBorder="1" applyAlignment="1">
      <alignment horizontal="center" vertical="center"/>
    </xf>
    <xf numFmtId="3" fontId="42" fillId="0" borderId="2" xfId="1" applyNumberFormat="1" applyFont="1" applyBorder="1" applyAlignment="1">
      <alignment horizontal="center" vertical="center"/>
    </xf>
    <xf numFmtId="3" fontId="37" fillId="0" borderId="10" xfId="1" applyNumberFormat="1" applyFont="1" applyBorder="1" applyAlignment="1">
      <alignment horizontal="center" vertical="center" wrapText="1"/>
    </xf>
    <xf numFmtId="3" fontId="37" fillId="0" borderId="5" xfId="1" applyNumberFormat="1" applyFont="1" applyBorder="1" applyAlignment="1">
      <alignment horizontal="center" vertical="center" wrapText="1"/>
    </xf>
    <xf numFmtId="3" fontId="42" fillId="0" borderId="2" xfId="1" applyNumberFormat="1" applyFont="1" applyBorder="1" applyAlignment="1">
      <alignment horizontal="center" vertical="center" wrapText="1"/>
    </xf>
    <xf numFmtId="3" fontId="37" fillId="11" borderId="4" xfId="1" applyNumberFormat="1" applyFont="1" applyFill="1" applyBorder="1" applyAlignment="1">
      <alignment horizontal="center" vertical="center" wrapText="1"/>
    </xf>
    <xf numFmtId="3" fontId="42" fillId="11" borderId="7" xfId="1" applyNumberFormat="1" applyFont="1" applyFill="1" applyBorder="1" applyAlignment="1">
      <alignment horizontal="center" vertical="center" wrapText="1"/>
    </xf>
    <xf numFmtId="3" fontId="42" fillId="11" borderId="8" xfId="1" applyNumberFormat="1" applyFont="1" applyFill="1" applyBorder="1" applyAlignment="1">
      <alignment horizontal="center" vertical="center" wrapText="1"/>
    </xf>
    <xf numFmtId="3" fontId="42" fillId="11" borderId="9" xfId="1" applyNumberFormat="1" applyFont="1" applyFill="1" applyBorder="1" applyAlignment="1">
      <alignment horizontal="center" vertical="center" wrapText="1"/>
    </xf>
    <xf numFmtId="3" fontId="42" fillId="5" borderId="5" xfId="1" applyNumberFormat="1" applyFont="1" applyFill="1" applyBorder="1" applyAlignment="1">
      <alignment horizontal="center" vertical="center" wrapText="1"/>
    </xf>
    <xf numFmtId="3" fontId="42" fillId="5" borderId="6" xfId="1" applyNumberFormat="1" applyFont="1" applyFill="1" applyBorder="1" applyAlignment="1">
      <alignment horizontal="center" vertical="center" wrapText="1"/>
    </xf>
    <xf numFmtId="3" fontId="42" fillId="5" borderId="22" xfId="1" applyNumberFormat="1" applyFont="1" applyFill="1" applyBorder="1" applyAlignment="1">
      <alignment horizontal="center" vertical="center" wrapText="1"/>
    </xf>
    <xf numFmtId="3" fontId="42" fillId="5" borderId="7" xfId="1" applyNumberFormat="1" applyFont="1" applyFill="1" applyBorder="1" applyAlignment="1">
      <alignment horizontal="center" vertical="center" wrapText="1"/>
    </xf>
    <xf numFmtId="3" fontId="42" fillId="5" borderId="8" xfId="1" applyNumberFormat="1" applyFont="1" applyFill="1" applyBorder="1" applyAlignment="1">
      <alignment horizontal="center" vertical="center" wrapText="1"/>
    </xf>
    <xf numFmtId="3" fontId="42" fillId="5" borderId="9" xfId="1" applyNumberFormat="1" applyFont="1" applyFill="1" applyBorder="1" applyAlignment="1">
      <alignment horizontal="center" vertical="center" wrapText="1"/>
    </xf>
    <xf numFmtId="3" fontId="42" fillId="5" borderId="10" xfId="1" applyNumberFormat="1" applyFont="1" applyFill="1" applyBorder="1" applyAlignment="1">
      <alignment horizontal="center" vertical="center" wrapText="1"/>
    </xf>
    <xf numFmtId="3" fontId="42" fillId="5" borderId="3" xfId="1" applyNumberFormat="1" applyFont="1" applyFill="1" applyBorder="1" applyAlignment="1">
      <alignment horizontal="center" vertical="center" wrapText="1"/>
    </xf>
    <xf numFmtId="3" fontId="42" fillId="5" borderId="12" xfId="1" applyNumberFormat="1" applyFont="1" applyFill="1" applyBorder="1" applyAlignment="1">
      <alignment horizontal="center" vertical="center" wrapText="1"/>
    </xf>
    <xf numFmtId="3" fontId="37" fillId="5" borderId="7" xfId="1" applyNumberFormat="1" applyFont="1" applyFill="1" applyBorder="1" applyAlignment="1">
      <alignment horizontal="center" vertical="center" wrapText="1"/>
    </xf>
    <xf numFmtId="3" fontId="37" fillId="5" borderId="8" xfId="1" applyNumberFormat="1" applyFont="1" applyFill="1" applyBorder="1" applyAlignment="1">
      <alignment horizontal="center" vertical="center" wrapText="1"/>
    </xf>
    <xf numFmtId="3" fontId="37" fillId="5" borderId="9" xfId="1" applyNumberFormat="1" applyFont="1" applyFill="1" applyBorder="1" applyAlignment="1">
      <alignment horizontal="center" vertical="center" wrapText="1"/>
    </xf>
    <xf numFmtId="3" fontId="37" fillId="0" borderId="1" xfId="1" applyNumberFormat="1" applyFont="1" applyBorder="1" applyAlignment="1">
      <alignment horizontal="center" vertical="center" wrapText="1"/>
    </xf>
    <xf numFmtId="3" fontId="37" fillId="0" borderId="2" xfId="1" applyNumberFormat="1" applyFont="1" applyBorder="1" applyAlignment="1">
      <alignment horizontal="center" vertical="center" wrapText="1"/>
    </xf>
    <xf numFmtId="3" fontId="37" fillId="0" borderId="17" xfId="1" applyNumberFormat="1" applyFont="1" applyBorder="1" applyAlignment="1">
      <alignment horizontal="center" vertical="center" wrapText="1"/>
    </xf>
    <xf numFmtId="3" fontId="42" fillId="5" borderId="1" xfId="1" applyNumberFormat="1" applyFont="1" applyFill="1" applyBorder="1" applyAlignment="1">
      <alignment horizontal="center" vertical="center"/>
    </xf>
    <xf numFmtId="3" fontId="42" fillId="5" borderId="2" xfId="1" applyNumberFormat="1" applyFont="1" applyFill="1" applyBorder="1" applyAlignment="1">
      <alignment horizontal="center" vertical="center"/>
    </xf>
    <xf numFmtId="3" fontId="37" fillId="5" borderId="10" xfId="1" applyNumberFormat="1" applyFont="1" applyFill="1" applyBorder="1" applyAlignment="1">
      <alignment horizontal="center" vertical="center" wrapText="1"/>
    </xf>
    <xf numFmtId="3" fontId="37" fillId="5" borderId="5" xfId="1" applyNumberFormat="1" applyFont="1" applyFill="1" applyBorder="1" applyAlignment="1">
      <alignment horizontal="center" vertical="center" wrapText="1"/>
    </xf>
    <xf numFmtId="3" fontId="38" fillId="0" borderId="0" xfId="1" applyNumberFormat="1" applyFont="1" applyAlignment="1">
      <alignment horizontal="center" vertical="center" wrapText="1"/>
    </xf>
    <xf numFmtId="3" fontId="37" fillId="0" borderId="1" xfId="1" applyNumberFormat="1" applyFont="1" applyBorder="1" applyAlignment="1">
      <alignment horizontal="center"/>
    </xf>
    <xf numFmtId="3" fontId="37" fillId="0" borderId="2" xfId="1" applyNumberFormat="1" applyFont="1" applyBorder="1" applyAlignment="1">
      <alignment horizontal="center"/>
    </xf>
    <xf numFmtId="3" fontId="37" fillId="0" borderId="17" xfId="1" applyNumberFormat="1" applyFont="1" applyBorder="1" applyAlignment="1">
      <alignment horizontal="center"/>
    </xf>
    <xf numFmtId="164" fontId="42" fillId="0" borderId="7" xfId="1" applyNumberFormat="1" applyFont="1" applyBorder="1" applyAlignment="1">
      <alignment horizontal="center" vertical="center" wrapText="1"/>
    </xf>
    <xf numFmtId="164" fontId="37" fillId="0" borderId="8" xfId="1" applyNumberFormat="1" applyFont="1" applyBorder="1" applyAlignment="1">
      <alignment horizontal="center" vertical="center" wrapText="1"/>
    </xf>
    <xf numFmtId="164" fontId="42" fillId="0" borderId="1" xfId="1" applyNumberFormat="1" applyFont="1" applyBorder="1" applyAlignment="1">
      <alignment horizontal="center" vertical="center" wrapText="1"/>
    </xf>
    <xf numFmtId="164" fontId="42" fillId="0" borderId="17" xfId="1" applyNumberFormat="1" applyFont="1" applyBorder="1" applyAlignment="1">
      <alignment horizontal="center" vertical="center" wrapText="1"/>
    </xf>
    <xf numFmtId="164" fontId="42" fillId="0" borderId="4" xfId="1" applyNumberFormat="1" applyFont="1" applyBorder="1" applyAlignment="1">
      <alignment horizontal="center" vertical="center" wrapText="1"/>
    </xf>
    <xf numFmtId="164" fontId="37" fillId="5" borderId="7" xfId="1" applyNumberFormat="1" applyFont="1" applyFill="1" applyBorder="1" applyAlignment="1">
      <alignment horizontal="center" vertical="center" wrapText="1"/>
    </xf>
    <xf numFmtId="164" fontId="37" fillId="5" borderId="8" xfId="1" applyNumberFormat="1" applyFont="1" applyFill="1" applyBorder="1" applyAlignment="1">
      <alignment horizontal="center" vertical="center" wrapText="1"/>
    </xf>
    <xf numFmtId="164" fontId="42" fillId="0" borderId="2" xfId="1"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6"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5" borderId="22" xfId="0" applyFont="1" applyFill="1" applyBorder="1" applyAlignment="1">
      <alignment horizontal="center" vertical="center" wrapText="1"/>
    </xf>
    <xf numFmtId="164" fontId="37" fillId="10" borderId="1" xfId="1" applyNumberFormat="1" applyFont="1" applyFill="1" applyBorder="1" applyAlignment="1">
      <alignment horizontal="center" vertical="center" wrapText="1"/>
    </xf>
    <xf numFmtId="164" fontId="37" fillId="10" borderId="2" xfId="1" applyNumberFormat="1" applyFont="1" applyFill="1" applyBorder="1" applyAlignment="1">
      <alignment horizontal="center" vertical="center" wrapText="1"/>
    </xf>
    <xf numFmtId="164" fontId="37" fillId="10" borderId="17" xfId="1" applyNumberFormat="1" applyFont="1" applyFill="1" applyBorder="1" applyAlignment="1">
      <alignment horizontal="center" vertical="center" wrapText="1"/>
    </xf>
    <xf numFmtId="164" fontId="37" fillId="0" borderId="1" xfId="1" applyNumberFormat="1" applyFont="1" applyBorder="1" applyAlignment="1">
      <alignment horizontal="center" vertical="center" wrapText="1"/>
    </xf>
    <xf numFmtId="164" fontId="37" fillId="0" borderId="2" xfId="1" applyNumberFormat="1" applyFont="1" applyBorder="1" applyAlignment="1">
      <alignment horizontal="center" vertical="center" wrapText="1"/>
    </xf>
    <xf numFmtId="164" fontId="37" fillId="0" borderId="17" xfId="1" applyNumberFormat="1" applyFont="1" applyBorder="1" applyAlignment="1">
      <alignment horizontal="center" vertical="center" wrapText="1"/>
    </xf>
    <xf numFmtId="164" fontId="37" fillId="0" borderId="4" xfId="1" applyNumberFormat="1" applyFont="1" applyBorder="1" applyAlignment="1">
      <alignment horizontal="center" vertical="center" wrapText="1"/>
    </xf>
    <xf numFmtId="164" fontId="37" fillId="0" borderId="7" xfId="1" applyNumberFormat="1" applyFont="1" applyBorder="1" applyAlignment="1">
      <alignment horizontal="center" vertical="center" wrapText="1"/>
    </xf>
    <xf numFmtId="164" fontId="42" fillId="0" borderId="8" xfId="1" applyNumberFormat="1" applyFont="1" applyBorder="1" applyAlignment="1">
      <alignment horizontal="center" vertical="center" wrapText="1"/>
    </xf>
    <xf numFmtId="164" fontId="42" fillId="5" borderId="7" xfId="1" applyNumberFormat="1" applyFont="1" applyFill="1" applyBorder="1" applyAlignment="1">
      <alignment horizontal="center" vertical="center" wrapText="1"/>
    </xf>
    <xf numFmtId="164" fontId="42" fillId="5" borderId="8" xfId="1" applyNumberFormat="1" applyFont="1" applyFill="1" applyBorder="1" applyAlignment="1">
      <alignment horizontal="center" vertical="center" wrapText="1"/>
    </xf>
    <xf numFmtId="0" fontId="0" fillId="0" borderId="0" xfId="0" applyAlignment="1">
      <alignment horizontal="left" vertical="top" wrapText="1"/>
    </xf>
    <xf numFmtId="0" fontId="26" fillId="0" borderId="11" xfId="0" applyFont="1" applyBorder="1" applyAlignment="1">
      <alignment horizontal="center" vertical="center" wrapText="1"/>
    </xf>
    <xf numFmtId="164" fontId="42" fillId="5" borderId="1" xfId="1" applyNumberFormat="1" applyFont="1" applyFill="1" applyBorder="1" applyAlignment="1">
      <alignment horizontal="center" vertical="center"/>
    </xf>
    <xf numFmtId="164" fontId="42" fillId="5" borderId="2" xfId="1" applyNumberFormat="1" applyFont="1" applyFill="1" applyBorder="1" applyAlignment="1">
      <alignment horizontal="center" vertical="center"/>
    </xf>
    <xf numFmtId="164" fontId="37" fillId="5" borderId="10" xfId="1" applyNumberFormat="1" applyFont="1" applyFill="1" applyBorder="1" applyAlignment="1">
      <alignment horizontal="center" vertical="center" wrapText="1"/>
    </xf>
    <xf numFmtId="164" fontId="37" fillId="5" borderId="5" xfId="1" applyNumberFormat="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2" xfId="0" applyFont="1" applyFill="1" applyBorder="1" applyAlignment="1">
      <alignment horizontal="left" vertical="center" wrapText="1"/>
    </xf>
    <xf numFmtId="174" fontId="15" fillId="5" borderId="2" xfId="3" applyNumberFormat="1" applyFont="1" applyFill="1" applyBorder="1" applyAlignment="1">
      <alignment horizontal="center"/>
    </xf>
    <xf numFmtId="0" fontId="7" fillId="5" borderId="46" xfId="0" applyFont="1" applyFill="1" applyBorder="1" applyAlignment="1">
      <alignment horizontal="left" vertical="center"/>
    </xf>
    <xf numFmtId="174" fontId="7" fillId="5" borderId="46" xfId="3" applyNumberFormat="1" applyFont="1" applyFill="1" applyBorder="1" applyAlignment="1">
      <alignment horizontal="center"/>
    </xf>
    <xf numFmtId="0" fontId="7" fillId="5" borderId="45" xfId="0" applyFont="1" applyFill="1" applyBorder="1" applyAlignment="1">
      <alignment horizontal="left" vertical="center" wrapText="1"/>
    </xf>
    <xf numFmtId="0" fontId="7" fillId="5" borderId="46" xfId="0" applyFont="1" applyFill="1" applyBorder="1" applyAlignment="1">
      <alignment horizontal="left" vertical="center" wrapText="1"/>
    </xf>
    <xf numFmtId="174" fontId="7" fillId="5" borderId="49" xfId="3" applyNumberFormat="1" applyFont="1" applyFill="1" applyBorder="1" applyAlignment="1">
      <alignment horizontal="center"/>
    </xf>
    <xf numFmtId="0" fontId="7" fillId="5" borderId="47" xfId="0" applyFont="1" applyFill="1" applyBorder="1" applyAlignment="1">
      <alignment horizontal="left" vertical="center" wrapText="1"/>
    </xf>
    <xf numFmtId="174" fontId="7" fillId="5" borderId="47" xfId="3" applyNumberFormat="1" applyFont="1" applyFill="1" applyBorder="1" applyAlignment="1">
      <alignment horizont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26"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35"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3" xfId="0" applyFont="1" applyFill="1" applyBorder="1" applyAlignment="1">
      <alignment horizontal="center" vertical="center" wrapText="1"/>
    </xf>
  </cellXfs>
  <cellStyles count="9">
    <cellStyle name="Comma 2" xfId="5" xr:uid="{00000000-0005-0000-0000-000000000000}"/>
    <cellStyle name="Millares" xfId="2" builtinId="3"/>
    <cellStyle name="Millares 3" xfId="7" xr:uid="{00000000-0005-0000-0000-000002000000}"/>
    <cellStyle name="Moneda" xfId="3" builtinId="4"/>
    <cellStyle name="Normal" xfId="0" builtinId="0"/>
    <cellStyle name="Normal 2" xfId="1" xr:uid="{00000000-0005-0000-0000-000005000000}"/>
    <cellStyle name="Normal 2 2" xfId="6" xr:uid="{00000000-0005-0000-0000-000006000000}"/>
    <cellStyle name="Normal 2 3" xfId="8" xr:uid="{00000000-0005-0000-0000-000007000000}"/>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415637</xdr:colOff>
      <xdr:row>65</xdr:row>
      <xdr:rowOff>126999</xdr:rowOff>
    </xdr:from>
    <xdr:to>
      <xdr:col>12</xdr:col>
      <xdr:colOff>21166</xdr:colOff>
      <xdr:row>68</xdr:row>
      <xdr:rowOff>84666</xdr:rowOff>
    </xdr:to>
    <xdr:sp macro="" textlink="">
      <xdr:nvSpPr>
        <xdr:cNvPr id="2" name="Speech Bubble: Rectangle 1">
          <a:extLst>
            <a:ext uri="{FF2B5EF4-FFF2-40B4-BE49-F238E27FC236}">
              <a16:creationId xmlns:a16="http://schemas.microsoft.com/office/drawing/2014/main" id="{00000000-0008-0000-0000-000002000000}"/>
            </a:ext>
          </a:extLst>
        </xdr:cNvPr>
        <xdr:cNvSpPr/>
      </xdr:nvSpPr>
      <xdr:spPr>
        <a:xfrm>
          <a:off x="8391237" y="12259732"/>
          <a:ext cx="2264062" cy="508001"/>
        </a:xfrm>
        <a:prstGeom prst="wedgeRectCallout">
          <a:avLst>
            <a:gd name="adj1" fmla="val -69166"/>
            <a:gd name="adj2" fmla="val 1835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nchorCtr="0"/>
        <a:lstStyle/>
        <a:p>
          <a:pPr algn="ctr"/>
          <a:r>
            <a:rPr lang="es-CL" sz="1000">
              <a:solidFill>
                <a:srgbClr val="FF0000"/>
              </a:solidFill>
            </a:rPr>
            <a:t>Capital Propio Tributario informado en el</a:t>
          </a:r>
          <a:r>
            <a:rPr lang="es-CL" sz="1000" baseline="0">
              <a:solidFill>
                <a:srgbClr val="FF0000"/>
              </a:solidFill>
            </a:rPr>
            <a:t> código 645 del F22 del AT.2020</a:t>
          </a:r>
          <a:endParaRPr lang="es-CL" sz="1000">
            <a:solidFill>
              <a:srgbClr val="FF0000"/>
            </a:solidFill>
          </a:endParaRPr>
        </a:p>
      </xdr:txBody>
    </xdr:sp>
    <xdr:clientData/>
  </xdr:twoCellAnchor>
  <xdr:twoCellAnchor>
    <xdr:from>
      <xdr:col>12</xdr:col>
      <xdr:colOff>494144</xdr:colOff>
      <xdr:row>47</xdr:row>
      <xdr:rowOff>8659</xdr:rowOff>
    </xdr:from>
    <xdr:to>
      <xdr:col>19</xdr:col>
      <xdr:colOff>397935</xdr:colOff>
      <xdr:row>52</xdr:row>
      <xdr:rowOff>67734</xdr:rowOff>
    </xdr:to>
    <xdr:sp macro="" textlink="">
      <xdr:nvSpPr>
        <xdr:cNvPr id="3" name="Speech Bubble: Rectangle 2">
          <a:extLst>
            <a:ext uri="{FF2B5EF4-FFF2-40B4-BE49-F238E27FC236}">
              <a16:creationId xmlns:a16="http://schemas.microsoft.com/office/drawing/2014/main" id="{00000000-0008-0000-0000-000003000000}"/>
            </a:ext>
          </a:extLst>
        </xdr:cNvPr>
        <xdr:cNvSpPr/>
      </xdr:nvSpPr>
      <xdr:spPr>
        <a:xfrm>
          <a:off x="11128277" y="9161126"/>
          <a:ext cx="2604658" cy="965008"/>
        </a:xfrm>
        <a:prstGeom prst="wedgeRectCallout">
          <a:avLst>
            <a:gd name="adj1" fmla="val -68436"/>
            <a:gd name="adj2" fmla="val -2273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Desde</a:t>
          </a:r>
          <a:r>
            <a:rPr lang="es-CL" sz="1000" baseline="0">
              <a:solidFill>
                <a:srgbClr val="FF0000"/>
              </a:solidFill>
            </a:rPr>
            <a:t> la tabla de amortización, proporcionada por el Banco, se extrajo que del total de la cuota pagada ($500.000) el monto de capital ascendía a $220.000 y los intereses a $280.000.</a:t>
          </a:r>
          <a:endParaRPr lang="es-CL" sz="1000">
            <a:solidFill>
              <a:srgbClr val="FF0000"/>
            </a:solidFill>
          </a:endParaRPr>
        </a:p>
      </xdr:txBody>
    </xdr:sp>
    <xdr:clientData/>
  </xdr:twoCellAnchor>
  <xdr:twoCellAnchor>
    <xdr:from>
      <xdr:col>12</xdr:col>
      <xdr:colOff>421409</xdr:colOff>
      <xdr:row>21</xdr:row>
      <xdr:rowOff>116416</xdr:rowOff>
    </xdr:from>
    <xdr:to>
      <xdr:col>19</xdr:col>
      <xdr:colOff>360794</xdr:colOff>
      <xdr:row>25</xdr:row>
      <xdr:rowOff>76201</xdr:rowOff>
    </xdr:to>
    <xdr:sp macro="" textlink="">
      <xdr:nvSpPr>
        <xdr:cNvPr id="5" name="Speech Bubble: Rectangle 4">
          <a:extLst>
            <a:ext uri="{FF2B5EF4-FFF2-40B4-BE49-F238E27FC236}">
              <a16:creationId xmlns:a16="http://schemas.microsoft.com/office/drawing/2014/main" id="{00000000-0008-0000-0000-000005000000}"/>
            </a:ext>
          </a:extLst>
        </xdr:cNvPr>
        <xdr:cNvSpPr/>
      </xdr:nvSpPr>
      <xdr:spPr>
        <a:xfrm>
          <a:off x="10761326" y="4328583"/>
          <a:ext cx="2585218" cy="637118"/>
        </a:xfrm>
        <a:prstGeom prst="wedgeRectCallout">
          <a:avLst>
            <a:gd name="adj1" fmla="val -65845"/>
            <a:gd name="adj2" fmla="val -4132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Ingreso tributario</a:t>
          </a:r>
          <a:r>
            <a:rPr lang="es-CL" sz="1000" baseline="0">
              <a:solidFill>
                <a:srgbClr val="0000FF"/>
              </a:solidFill>
            </a:rPr>
            <a:t> reconocido en el año 2019, el cual no debe reconocerse nuevamente en el año 2020</a:t>
          </a:r>
          <a:endParaRPr lang="es-CL" sz="1000">
            <a:solidFill>
              <a:srgbClr val="0000FF"/>
            </a:solidFill>
          </a:endParaRPr>
        </a:p>
      </xdr:txBody>
    </xdr:sp>
    <xdr:clientData/>
  </xdr:twoCellAnchor>
  <xdr:twoCellAnchor>
    <xdr:from>
      <xdr:col>7</xdr:col>
      <xdr:colOff>580158</xdr:colOff>
      <xdr:row>101</xdr:row>
      <xdr:rowOff>8467</xdr:rowOff>
    </xdr:from>
    <xdr:to>
      <xdr:col>10</xdr:col>
      <xdr:colOff>584200</xdr:colOff>
      <xdr:row>104</xdr:row>
      <xdr:rowOff>152400</xdr:rowOff>
    </xdr:to>
    <xdr:sp macro="" textlink="">
      <xdr:nvSpPr>
        <xdr:cNvPr id="6" name="Speech Bubble: Rectangle 5">
          <a:extLst>
            <a:ext uri="{FF2B5EF4-FFF2-40B4-BE49-F238E27FC236}">
              <a16:creationId xmlns:a16="http://schemas.microsoft.com/office/drawing/2014/main" id="{00000000-0008-0000-0000-000006000000}"/>
            </a:ext>
          </a:extLst>
        </xdr:cNvPr>
        <xdr:cNvSpPr/>
      </xdr:nvSpPr>
      <xdr:spPr>
        <a:xfrm>
          <a:off x="6362891" y="19007667"/>
          <a:ext cx="3085909" cy="855133"/>
        </a:xfrm>
        <a:prstGeom prst="wedgeRectCallout">
          <a:avLst>
            <a:gd name="adj1" fmla="val -68574"/>
            <a:gd name="adj2" fmla="val 8565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El monto del reajuste del PPM ascendió a $875 </a:t>
          </a:r>
          <a:r>
            <a:rPr lang="es-CL" sz="1100">
              <a:solidFill>
                <a:srgbClr val="0000FF"/>
              </a:solidFill>
              <a:effectLst/>
              <a:latin typeface="+mn-lt"/>
              <a:ea typeface="+mn-ea"/>
              <a:cs typeface="+mn-cs"/>
            </a:rPr>
            <a:t>($208.375. - $207.500)</a:t>
          </a:r>
          <a:r>
            <a:rPr lang="es-CL" sz="1100">
              <a:solidFill>
                <a:srgbClr val="0000FF"/>
              </a:solidFill>
            </a:rPr>
            <a:t> el cual debe ser reconocido en la Base</a:t>
          </a:r>
          <a:r>
            <a:rPr lang="es-CL" sz="1100" baseline="0">
              <a:solidFill>
                <a:srgbClr val="0000FF"/>
              </a:solidFill>
            </a:rPr>
            <a:t> imponible determinada </a:t>
          </a:r>
          <a:r>
            <a:rPr lang="es-CL" sz="1100">
              <a:solidFill>
                <a:srgbClr val="0000FF"/>
              </a:solidFill>
            </a:rPr>
            <a:t> al 31 de diciembre del 2020.</a:t>
          </a:r>
        </a:p>
      </xdr:txBody>
    </xdr:sp>
    <xdr:clientData/>
  </xdr:twoCellAnchor>
  <xdr:twoCellAnchor>
    <xdr:from>
      <xdr:col>5</xdr:col>
      <xdr:colOff>614795</xdr:colOff>
      <xdr:row>74</xdr:row>
      <xdr:rowOff>137583</xdr:rowOff>
    </xdr:from>
    <xdr:to>
      <xdr:col>8</xdr:col>
      <xdr:colOff>762000</xdr:colOff>
      <xdr:row>78</xdr:row>
      <xdr:rowOff>52916</xdr:rowOff>
    </xdr:to>
    <xdr:sp macro="" textlink="">
      <xdr:nvSpPr>
        <xdr:cNvPr id="7" name="Speech Bubble: Rectangle 6">
          <a:extLst>
            <a:ext uri="{FF2B5EF4-FFF2-40B4-BE49-F238E27FC236}">
              <a16:creationId xmlns:a16="http://schemas.microsoft.com/office/drawing/2014/main" id="{00000000-0008-0000-0000-000007000000}"/>
            </a:ext>
          </a:extLst>
        </xdr:cNvPr>
        <xdr:cNvSpPr/>
      </xdr:nvSpPr>
      <xdr:spPr>
        <a:xfrm>
          <a:off x="4729595" y="13955183"/>
          <a:ext cx="3161338" cy="804333"/>
        </a:xfrm>
        <a:prstGeom prst="wedgeRectCallout">
          <a:avLst>
            <a:gd name="adj1" fmla="val -69003"/>
            <a:gd name="adj2" fmla="val 5513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Dado que la RLI asciende</a:t>
          </a:r>
          <a:r>
            <a:rPr lang="es-CL" sz="1100" baseline="0">
              <a:solidFill>
                <a:srgbClr val="0000FF"/>
              </a:solidFill>
            </a:rPr>
            <a:t> a </a:t>
          </a:r>
          <a:r>
            <a:rPr lang="es-CL" sz="1100">
              <a:solidFill>
                <a:srgbClr val="0000FF"/>
              </a:solidFill>
              <a:latin typeface="+mn-lt"/>
              <a:ea typeface="+mn-ea"/>
              <a:cs typeface="+mn-cs"/>
            </a:rPr>
            <a:t>$14.000.000.- el IDPC a rebajar del registro REX, columna RAP en el AT 2021, asciende a $3.500.000 </a:t>
          </a:r>
        </a:p>
        <a:p>
          <a:pPr algn="ctr"/>
          <a:r>
            <a:rPr lang="es-CL" sz="1100">
              <a:solidFill>
                <a:srgbClr val="0000FF"/>
              </a:solidFill>
              <a:latin typeface="+mn-lt"/>
              <a:ea typeface="+mn-ea"/>
              <a:cs typeface="+mn-cs"/>
            </a:rPr>
            <a:t>(RLI $14.000.000 * 25% =$3.500.000)</a:t>
          </a:r>
        </a:p>
      </xdr:txBody>
    </xdr:sp>
    <xdr:clientData/>
  </xdr:twoCellAnchor>
  <xdr:twoCellAnchor>
    <xdr:from>
      <xdr:col>12</xdr:col>
      <xdr:colOff>486835</xdr:colOff>
      <xdr:row>17</xdr:row>
      <xdr:rowOff>63501</xdr:rowOff>
    </xdr:from>
    <xdr:to>
      <xdr:col>19</xdr:col>
      <xdr:colOff>378885</xdr:colOff>
      <xdr:row>21</xdr:row>
      <xdr:rowOff>67734</xdr:rowOff>
    </xdr:to>
    <xdr:sp macro="" textlink="">
      <xdr:nvSpPr>
        <xdr:cNvPr id="8" name="Speech Bubble: Rectangle 4">
          <a:extLst>
            <a:ext uri="{FF2B5EF4-FFF2-40B4-BE49-F238E27FC236}">
              <a16:creationId xmlns:a16="http://schemas.microsoft.com/office/drawing/2014/main" id="{00000000-0008-0000-0000-000008000000}"/>
            </a:ext>
          </a:extLst>
        </xdr:cNvPr>
        <xdr:cNvSpPr/>
      </xdr:nvSpPr>
      <xdr:spPr>
        <a:xfrm>
          <a:off x="10826752" y="3460751"/>
          <a:ext cx="2580216" cy="819150"/>
        </a:xfrm>
        <a:prstGeom prst="wedgeRectCallout">
          <a:avLst>
            <a:gd name="adj1" fmla="val -103339"/>
            <a:gd name="adj2" fmla="val 4500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La</a:t>
          </a:r>
          <a:r>
            <a:rPr lang="es-CL" sz="1000" baseline="0">
              <a:solidFill>
                <a:srgbClr val="FF0000"/>
              </a:solidFill>
            </a:rPr>
            <a:t> norma señala que las ventas a un relacionado que tribute bajo las normas de la letra A) del artículo 14 de la LIR se reconocerán en el ejercicio de su devengo.</a:t>
          </a:r>
          <a:endParaRPr lang="es-CL" sz="1000">
            <a:solidFill>
              <a:srgbClr val="FF0000"/>
            </a:solidFill>
          </a:endParaRPr>
        </a:p>
      </xdr:txBody>
    </xdr:sp>
    <xdr:clientData/>
  </xdr:twoCellAnchor>
  <xdr:twoCellAnchor>
    <xdr:from>
      <xdr:col>9</xdr:col>
      <xdr:colOff>353484</xdr:colOff>
      <xdr:row>57</xdr:row>
      <xdr:rowOff>21167</xdr:rowOff>
    </xdr:from>
    <xdr:to>
      <xdr:col>12</xdr:col>
      <xdr:colOff>0</xdr:colOff>
      <xdr:row>63</xdr:row>
      <xdr:rowOff>52916</xdr:rowOff>
    </xdr:to>
    <xdr:sp macro="" textlink="">
      <xdr:nvSpPr>
        <xdr:cNvPr id="9" name="Speech Bubble: Rectangle 1">
          <a:extLst>
            <a:ext uri="{FF2B5EF4-FFF2-40B4-BE49-F238E27FC236}">
              <a16:creationId xmlns:a16="http://schemas.microsoft.com/office/drawing/2014/main" id="{00000000-0008-0000-0000-000009000000}"/>
            </a:ext>
          </a:extLst>
        </xdr:cNvPr>
        <xdr:cNvSpPr/>
      </xdr:nvSpPr>
      <xdr:spPr>
        <a:xfrm>
          <a:off x="8100484" y="10128250"/>
          <a:ext cx="2239433" cy="963083"/>
        </a:xfrm>
        <a:prstGeom prst="wedgeRectCallout">
          <a:avLst>
            <a:gd name="adj1" fmla="val -102434"/>
            <a:gd name="adj2" fmla="val 4843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Para que proceda la rebaja</a:t>
          </a:r>
          <a:r>
            <a:rPr lang="es-CL" sz="1000" baseline="0">
              <a:solidFill>
                <a:srgbClr val="0000FF"/>
              </a:solidFill>
            </a:rPr>
            <a:t> </a:t>
          </a:r>
          <a:r>
            <a:rPr lang="es-CL" sz="1000">
              <a:solidFill>
                <a:srgbClr val="0000FF"/>
              </a:solidFill>
              <a:latin typeface="+mn-lt"/>
              <a:ea typeface="+mn-ea"/>
              <a:cs typeface="+mn-cs"/>
            </a:rPr>
            <a:t>como gasto al 01.01.2020 en el régimen Pro Pyme, el activo fijo y las existencias deben encontrarse pagadas</a:t>
          </a:r>
          <a:r>
            <a:rPr lang="es-CL" sz="1000" baseline="0">
              <a:solidFill>
                <a:srgbClr val="0000FF"/>
              </a:solidFill>
              <a:latin typeface="+mn-lt"/>
              <a:ea typeface="+mn-ea"/>
              <a:cs typeface="+mn-cs"/>
            </a:rPr>
            <a:t> y ser acreditadas fechacientemente.</a:t>
          </a:r>
          <a:endParaRPr lang="es-CL" sz="1000">
            <a:solidFill>
              <a:srgbClr val="0000FF"/>
            </a:solidFill>
            <a:latin typeface="+mn-lt"/>
            <a:ea typeface="+mn-ea"/>
            <a:cs typeface="+mn-cs"/>
          </a:endParaRPr>
        </a:p>
      </xdr:txBody>
    </xdr:sp>
    <xdr:clientData/>
  </xdr:twoCellAnchor>
  <xdr:twoCellAnchor>
    <xdr:from>
      <xdr:col>5</xdr:col>
      <xdr:colOff>662517</xdr:colOff>
      <xdr:row>79</xdr:row>
      <xdr:rowOff>103717</xdr:rowOff>
    </xdr:from>
    <xdr:to>
      <xdr:col>8</xdr:col>
      <xdr:colOff>751417</xdr:colOff>
      <xdr:row>83</xdr:row>
      <xdr:rowOff>92749</xdr:rowOff>
    </xdr:to>
    <xdr:sp macro="" textlink="">
      <xdr:nvSpPr>
        <xdr:cNvPr id="10" name="Speech Bubble: Rectangle 6">
          <a:extLst>
            <a:ext uri="{FF2B5EF4-FFF2-40B4-BE49-F238E27FC236}">
              <a16:creationId xmlns:a16="http://schemas.microsoft.com/office/drawing/2014/main" id="{00000000-0008-0000-0000-00000A000000}"/>
            </a:ext>
          </a:extLst>
        </xdr:cNvPr>
        <xdr:cNvSpPr/>
      </xdr:nvSpPr>
      <xdr:spPr>
        <a:xfrm>
          <a:off x="4663017" y="14094884"/>
          <a:ext cx="3020483" cy="655782"/>
        </a:xfrm>
        <a:prstGeom prst="wedgeRectCallout">
          <a:avLst>
            <a:gd name="adj1" fmla="val -70368"/>
            <a:gd name="adj2" fmla="val -2804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Con</a:t>
          </a:r>
          <a:r>
            <a:rPr lang="es-CL" sz="1100" baseline="0">
              <a:solidFill>
                <a:srgbClr val="FF0000"/>
              </a:solidFill>
            </a:rPr>
            <a:t> motivo del cambio de régimen, este saldo pasará a formar parte de una columna dentro del registro REX al 01.01.2020, denominada RAP.</a:t>
          </a:r>
          <a:endParaRPr lang="es-CL" sz="1100">
            <a:solidFill>
              <a:srgbClr val="FF0000"/>
            </a:solidFill>
          </a:endParaRPr>
        </a:p>
      </xdr:txBody>
    </xdr:sp>
    <xdr:clientData/>
  </xdr:twoCellAnchor>
  <xdr:twoCellAnchor>
    <xdr:from>
      <xdr:col>12</xdr:col>
      <xdr:colOff>433917</xdr:colOff>
      <xdr:row>26</xdr:row>
      <xdr:rowOff>46567</xdr:rowOff>
    </xdr:from>
    <xdr:to>
      <xdr:col>19</xdr:col>
      <xdr:colOff>325967</xdr:colOff>
      <xdr:row>30</xdr:row>
      <xdr:rowOff>152401</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1068050" y="5228167"/>
          <a:ext cx="2592917" cy="833967"/>
        </a:xfrm>
        <a:prstGeom prst="wedgeRectCallout">
          <a:avLst>
            <a:gd name="adj1" fmla="val -117542"/>
            <a:gd name="adj2" fmla="val 3779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En</a:t>
          </a:r>
          <a:r>
            <a:rPr lang="es-CL" sz="1000" baseline="0">
              <a:solidFill>
                <a:srgbClr val="FF0000"/>
              </a:solidFill>
            </a:rPr>
            <a:t> el registro SAC los créditos por los dividendos percibidos se registran históricos, razón por la cual al extraer los créditos desde la DJ 1948 dicho crédito debe ser deflactado. </a:t>
          </a:r>
          <a:endParaRPr lang="es-CL" sz="1000">
            <a:solidFill>
              <a:srgbClr val="FF0000"/>
            </a:solidFill>
          </a:endParaRPr>
        </a:p>
      </xdr:txBody>
    </xdr:sp>
    <xdr:clientData/>
  </xdr:twoCellAnchor>
  <xdr:twoCellAnchor>
    <xdr:from>
      <xdr:col>12</xdr:col>
      <xdr:colOff>476249</xdr:colOff>
      <xdr:row>38</xdr:row>
      <xdr:rowOff>279400</xdr:rowOff>
    </xdr:from>
    <xdr:to>
      <xdr:col>19</xdr:col>
      <xdr:colOff>415634</xdr:colOff>
      <xdr:row>44</xdr:row>
      <xdr:rowOff>0</xdr:rowOff>
    </xdr:to>
    <xdr:sp macro="" textlink="">
      <xdr:nvSpPr>
        <xdr:cNvPr id="12" name="Speech Bubble: Rectangle 11">
          <a:extLst>
            <a:ext uri="{FF2B5EF4-FFF2-40B4-BE49-F238E27FC236}">
              <a16:creationId xmlns:a16="http://schemas.microsoft.com/office/drawing/2014/main" id="{00000000-0008-0000-0000-00000C000000}"/>
            </a:ext>
          </a:extLst>
        </xdr:cNvPr>
        <xdr:cNvSpPr/>
      </xdr:nvSpPr>
      <xdr:spPr>
        <a:xfrm>
          <a:off x="11110382" y="7653867"/>
          <a:ext cx="2640252" cy="956733"/>
        </a:xfrm>
        <a:prstGeom prst="wedgeRectCallout">
          <a:avLst>
            <a:gd name="adj1" fmla="val -65613"/>
            <a:gd name="adj2" fmla="val 10743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Dado</a:t>
          </a:r>
          <a:r>
            <a:rPr lang="es-CL" sz="1000" baseline="0">
              <a:solidFill>
                <a:srgbClr val="0000FF"/>
              </a:solidFill>
            </a:rPr>
            <a:t> que </a:t>
          </a:r>
          <a:r>
            <a:rPr lang="es-CL" sz="1000" baseline="0">
              <a:solidFill>
                <a:srgbClr val="0000FF"/>
              </a:solidFill>
              <a:latin typeface="+mn-lt"/>
              <a:ea typeface="+mn-ea"/>
              <a:cs typeface="+mn-cs"/>
            </a:rPr>
            <a:t>corresponde a compras o servicios del año 2019 y estos ya fueron reconocidos como gasto en ese año en el régimen de renta atribuida, no deben ser rebajados de la base imponible del año 2020.</a:t>
          </a:r>
        </a:p>
      </xdr:txBody>
    </xdr:sp>
    <xdr:clientData/>
  </xdr:twoCellAnchor>
  <xdr:twoCellAnchor>
    <xdr:from>
      <xdr:col>12</xdr:col>
      <xdr:colOff>224366</xdr:colOff>
      <xdr:row>1</xdr:row>
      <xdr:rowOff>184148</xdr:rowOff>
    </xdr:from>
    <xdr:to>
      <xdr:col>20</xdr:col>
      <xdr:colOff>587374</xdr:colOff>
      <xdr:row>7</xdr:row>
      <xdr:rowOff>124883</xdr:rowOff>
    </xdr:to>
    <xdr:sp macro="" textlink="">
      <xdr:nvSpPr>
        <xdr:cNvPr id="13" name="Speech Bubble: Rectangle 4">
          <a:extLst>
            <a:ext uri="{FF2B5EF4-FFF2-40B4-BE49-F238E27FC236}">
              <a16:creationId xmlns:a16="http://schemas.microsoft.com/office/drawing/2014/main" id="{00000000-0008-0000-0000-00000D000000}"/>
            </a:ext>
          </a:extLst>
        </xdr:cNvPr>
        <xdr:cNvSpPr/>
      </xdr:nvSpPr>
      <xdr:spPr>
        <a:xfrm>
          <a:off x="10564283" y="374648"/>
          <a:ext cx="3622674" cy="1083735"/>
        </a:xfrm>
        <a:prstGeom prst="wedgeRectCallout">
          <a:avLst>
            <a:gd name="adj1" fmla="val -61803"/>
            <a:gd name="adj2" fmla="val 1333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50">
              <a:solidFill>
                <a:srgbClr val="0000FF"/>
              </a:solidFill>
            </a:rPr>
            <a:t>Podrá</a:t>
          </a:r>
          <a:r>
            <a:rPr lang="es-CL" sz="1050" baseline="0">
              <a:solidFill>
                <a:srgbClr val="0000FF"/>
              </a:solidFill>
            </a:rPr>
            <a:t> ejercer la opción de contabilidad simplificada</a:t>
          </a:r>
          <a:r>
            <a:rPr lang="es-CL" sz="1050">
              <a:solidFill>
                <a:srgbClr val="0000FF"/>
              </a:solidFill>
            </a:rPr>
            <a:t> en el sitio web del SII, en la aplicación de Regímenes Tributarios. Si no ejerce dicha opción deberán llevar contabilidad completa, aplicando igualmente las normas para la determinación de la base imponible que contempla la ley para este régimen</a:t>
          </a:r>
          <a:r>
            <a:rPr lang="es-CL" sz="1050" baseline="0">
              <a:solidFill>
                <a:srgbClr val="0000FF"/>
              </a:solidFill>
            </a:rPr>
            <a:t> </a:t>
          </a:r>
        </a:p>
        <a:p>
          <a:pPr algn="ctr"/>
          <a:r>
            <a:rPr lang="es-CL" sz="1050" baseline="0">
              <a:solidFill>
                <a:srgbClr val="0000FF"/>
              </a:solidFill>
            </a:rPr>
            <a:t>(Resolución N° 82/2020).</a:t>
          </a:r>
        </a:p>
        <a:p>
          <a:pPr algn="ctr"/>
          <a:endParaRPr lang="es-CL" sz="1050">
            <a:solidFill>
              <a:srgbClr val="0000FF"/>
            </a:solidFill>
          </a:endParaRPr>
        </a:p>
        <a:p>
          <a:pPr algn="ctr"/>
          <a:endParaRPr lang="es-CL" sz="1050">
            <a:solidFill>
              <a:srgbClr val="0000FF"/>
            </a:solidFill>
          </a:endParaRPr>
        </a:p>
      </xdr:txBody>
    </xdr:sp>
    <xdr:clientData/>
  </xdr:twoCellAnchor>
  <xdr:twoCellAnchor>
    <xdr:from>
      <xdr:col>5</xdr:col>
      <xdr:colOff>734482</xdr:colOff>
      <xdr:row>36</xdr:row>
      <xdr:rowOff>97367</xdr:rowOff>
    </xdr:from>
    <xdr:to>
      <xdr:col>8</xdr:col>
      <xdr:colOff>529165</xdr:colOff>
      <xdr:row>40</xdr:row>
      <xdr:rowOff>31750</xdr:rowOff>
    </xdr:to>
    <xdr:sp macro="" textlink="">
      <xdr:nvSpPr>
        <xdr:cNvPr id="14" name="Speech Bubble: Rectangle 4">
          <a:extLst>
            <a:ext uri="{FF2B5EF4-FFF2-40B4-BE49-F238E27FC236}">
              <a16:creationId xmlns:a16="http://schemas.microsoft.com/office/drawing/2014/main" id="{00000000-0008-0000-0000-00000E000000}"/>
            </a:ext>
          </a:extLst>
        </xdr:cNvPr>
        <xdr:cNvSpPr/>
      </xdr:nvSpPr>
      <xdr:spPr>
        <a:xfrm>
          <a:off x="4734982" y="6754284"/>
          <a:ext cx="2726266" cy="791633"/>
        </a:xfrm>
        <a:prstGeom prst="wedgeRectCallout">
          <a:avLst>
            <a:gd name="adj1" fmla="val 34193"/>
            <a:gd name="adj2" fmla="val -11827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0000FF"/>
              </a:solidFill>
            </a:rPr>
            <a:t>Circular 11 de 2021 referente a la Ley N° 21.256/2020 la cual señala que el factor de crédito asociado a la tasa del 10% debe figurar con 6 decimales.</a:t>
          </a:r>
          <a:endParaRPr lang="es-CL" sz="1000">
            <a:solidFill>
              <a:srgbClr val="0000FF"/>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20320</xdr:colOff>
      <xdr:row>18</xdr:row>
      <xdr:rowOff>146051</xdr:rowOff>
    </xdr:from>
    <xdr:to>
      <xdr:col>9</xdr:col>
      <xdr:colOff>563880</xdr:colOff>
      <xdr:row>21</xdr:row>
      <xdr:rowOff>45721</xdr:rowOff>
    </xdr:to>
    <xdr:sp macro="" textlink="">
      <xdr:nvSpPr>
        <xdr:cNvPr id="2" name="Speech Bubble: Rectangle 2">
          <a:extLst>
            <a:ext uri="{FF2B5EF4-FFF2-40B4-BE49-F238E27FC236}">
              <a16:creationId xmlns:a16="http://schemas.microsoft.com/office/drawing/2014/main" id="{00000000-0008-0000-0900-000002000000}"/>
            </a:ext>
          </a:extLst>
        </xdr:cNvPr>
        <xdr:cNvSpPr/>
      </xdr:nvSpPr>
      <xdr:spPr>
        <a:xfrm>
          <a:off x="7198360" y="4344671"/>
          <a:ext cx="2639060" cy="494030"/>
        </a:xfrm>
        <a:prstGeom prst="wedgeRectCallout">
          <a:avLst>
            <a:gd name="adj1" fmla="val -52728"/>
            <a:gd name="adj2" fmla="val -19970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L" sz="1100">
              <a:solidFill>
                <a:srgbClr val="0000FF"/>
              </a:solidFill>
            </a:rPr>
            <a:t>Corresponde</a:t>
          </a:r>
          <a:r>
            <a:rPr lang="es-CL" sz="1100" baseline="0">
              <a:solidFill>
                <a:srgbClr val="0000FF"/>
              </a:solidFill>
            </a:rPr>
            <a:t> al CIDP </a:t>
          </a:r>
          <a:r>
            <a:rPr lang="es-CL" sz="1100" baseline="0">
              <a:solidFill>
                <a:srgbClr val="0000FF"/>
              </a:solidFill>
              <a:latin typeface="+mn-lt"/>
              <a:ea typeface="+mn-ea"/>
              <a:cs typeface="+mn-cs"/>
            </a:rPr>
            <a:t>asociados a multas e intereses fiscales  ($140.000 * 0,11111).</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560070</xdr:colOff>
      <xdr:row>13</xdr:row>
      <xdr:rowOff>154305</xdr:rowOff>
    </xdr:from>
    <xdr:to>
      <xdr:col>5</xdr:col>
      <xdr:colOff>35983</xdr:colOff>
      <xdr:row>19</xdr:row>
      <xdr:rowOff>60960</xdr:rowOff>
    </xdr:to>
    <xdr:sp macro="" textlink="">
      <xdr:nvSpPr>
        <xdr:cNvPr id="2" name="Speech Bubble: Rectangle 1">
          <a:extLst>
            <a:ext uri="{FF2B5EF4-FFF2-40B4-BE49-F238E27FC236}">
              <a16:creationId xmlns:a16="http://schemas.microsoft.com/office/drawing/2014/main" id="{00000000-0008-0000-0A00-000002000000}"/>
            </a:ext>
          </a:extLst>
        </xdr:cNvPr>
        <xdr:cNvSpPr/>
      </xdr:nvSpPr>
      <xdr:spPr>
        <a:xfrm>
          <a:off x="2472690" y="3590925"/>
          <a:ext cx="2081953" cy="1011555"/>
        </a:xfrm>
        <a:prstGeom prst="wedgeRectCallout">
          <a:avLst>
            <a:gd name="adj1" fmla="val -45327"/>
            <a:gd name="adj2" fmla="val -9785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Tanto</a:t>
          </a:r>
          <a:r>
            <a:rPr lang="es-CL" sz="1100" baseline="0">
              <a:solidFill>
                <a:srgbClr val="0000FF"/>
              </a:solidFill>
            </a:rPr>
            <a:t> las rentas afectas a impuestos finales como los créditos asociados deben ser informados actualizados en la Declaración Jurada N°1948. </a:t>
          </a:r>
          <a:endParaRPr lang="es-CL" sz="1100">
            <a:solidFill>
              <a:srgbClr val="0000FF"/>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142875</xdr:colOff>
      <xdr:row>71</xdr:row>
      <xdr:rowOff>161925</xdr:rowOff>
    </xdr:from>
    <xdr:to>
      <xdr:col>14</xdr:col>
      <xdr:colOff>561975</xdr:colOff>
      <xdr:row>73</xdr:row>
      <xdr:rowOff>9525</xdr:rowOff>
    </xdr:to>
    <xdr:sp macro="" textlink="">
      <xdr:nvSpPr>
        <xdr:cNvPr id="2" name="Arrow: Left-Right 1">
          <a:extLst>
            <a:ext uri="{FF2B5EF4-FFF2-40B4-BE49-F238E27FC236}">
              <a16:creationId xmlns:a16="http://schemas.microsoft.com/office/drawing/2014/main" id="{00000000-0008-0000-0E00-000002000000}"/>
            </a:ext>
          </a:extLst>
        </xdr:cNvPr>
        <xdr:cNvSpPr/>
      </xdr:nvSpPr>
      <xdr:spPr>
        <a:xfrm rot="19076140">
          <a:off x="8686800" y="11982450"/>
          <a:ext cx="419100" cy="228600"/>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142875</xdr:colOff>
      <xdr:row>50</xdr:row>
      <xdr:rowOff>161925</xdr:rowOff>
    </xdr:from>
    <xdr:to>
      <xdr:col>14</xdr:col>
      <xdr:colOff>561975</xdr:colOff>
      <xdr:row>52</xdr:row>
      <xdr:rowOff>9525</xdr:rowOff>
    </xdr:to>
    <xdr:sp macro="" textlink="">
      <xdr:nvSpPr>
        <xdr:cNvPr id="3" name="Arrow: Left-Right 2">
          <a:extLst>
            <a:ext uri="{FF2B5EF4-FFF2-40B4-BE49-F238E27FC236}">
              <a16:creationId xmlns:a16="http://schemas.microsoft.com/office/drawing/2014/main" id="{00000000-0008-0000-0E00-000003000000}"/>
            </a:ext>
          </a:extLst>
        </xdr:cNvPr>
        <xdr:cNvSpPr/>
      </xdr:nvSpPr>
      <xdr:spPr>
        <a:xfrm rot="19076140">
          <a:off x="8686800" y="8105775"/>
          <a:ext cx="419100" cy="238125"/>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9</xdr:col>
      <xdr:colOff>38099</xdr:colOff>
      <xdr:row>7</xdr:row>
      <xdr:rowOff>114300</xdr:rowOff>
    </xdr:from>
    <xdr:to>
      <xdr:col>15</xdr:col>
      <xdr:colOff>428624</xdr:colOff>
      <xdr:row>14</xdr:row>
      <xdr:rowOff>161925</xdr:rowOff>
    </xdr:to>
    <xdr:sp macro="" textlink="">
      <xdr:nvSpPr>
        <xdr:cNvPr id="4" name="Multiplication Sign 3">
          <a:extLst>
            <a:ext uri="{FF2B5EF4-FFF2-40B4-BE49-F238E27FC236}">
              <a16:creationId xmlns:a16="http://schemas.microsoft.com/office/drawing/2014/main" id="{00000000-0008-0000-0E00-000004000000}"/>
            </a:ext>
          </a:extLst>
        </xdr:cNvPr>
        <xdr:cNvSpPr/>
      </xdr:nvSpPr>
      <xdr:spPr>
        <a:xfrm>
          <a:off x="5467349" y="1495425"/>
          <a:ext cx="4314825" cy="123825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339165</xdr:colOff>
      <xdr:row>18</xdr:row>
      <xdr:rowOff>78068</xdr:rowOff>
    </xdr:from>
    <xdr:to>
      <xdr:col>12</xdr:col>
      <xdr:colOff>754529</xdr:colOff>
      <xdr:row>21</xdr:row>
      <xdr:rowOff>98612</xdr:rowOff>
    </xdr:to>
    <xdr:sp macro="" textlink="">
      <xdr:nvSpPr>
        <xdr:cNvPr id="3" name="Speech Bubble: Rectangle 2">
          <a:extLst>
            <a:ext uri="{FF2B5EF4-FFF2-40B4-BE49-F238E27FC236}">
              <a16:creationId xmlns:a16="http://schemas.microsoft.com/office/drawing/2014/main" id="{00000000-0008-0000-0100-000003000000}"/>
            </a:ext>
          </a:extLst>
        </xdr:cNvPr>
        <xdr:cNvSpPr/>
      </xdr:nvSpPr>
      <xdr:spPr>
        <a:xfrm>
          <a:off x="8523941" y="3690844"/>
          <a:ext cx="2360706" cy="585321"/>
        </a:xfrm>
        <a:prstGeom prst="wedgeRectCallout">
          <a:avLst>
            <a:gd name="adj1" fmla="val -65263"/>
            <a:gd name="adj2" fmla="val 1665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0000FF"/>
              </a:solidFill>
            </a:rPr>
            <a:t>En la Base imponible se  debe deducir el Interés y reajuste pagados por cada cuota del o los créditos.</a:t>
          </a:r>
          <a:endParaRPr lang="es-CL" sz="1000">
            <a:solidFill>
              <a:srgbClr val="0000FF"/>
            </a:solidFill>
          </a:endParaRPr>
        </a:p>
      </xdr:txBody>
    </xdr:sp>
    <xdr:clientData/>
  </xdr:twoCellAnchor>
  <xdr:twoCellAnchor>
    <xdr:from>
      <xdr:col>10</xdr:col>
      <xdr:colOff>329827</xdr:colOff>
      <xdr:row>21</xdr:row>
      <xdr:rowOff>135093</xdr:rowOff>
    </xdr:from>
    <xdr:to>
      <xdr:col>12</xdr:col>
      <xdr:colOff>745191</xdr:colOff>
      <xdr:row>24</xdr:row>
      <xdr:rowOff>125505</xdr:rowOff>
    </xdr:to>
    <xdr:sp macro="" textlink="">
      <xdr:nvSpPr>
        <xdr:cNvPr id="4" name="Speech Bubble: Rectangle 3">
          <a:extLst>
            <a:ext uri="{FF2B5EF4-FFF2-40B4-BE49-F238E27FC236}">
              <a16:creationId xmlns:a16="http://schemas.microsoft.com/office/drawing/2014/main" id="{00000000-0008-0000-0100-000004000000}"/>
            </a:ext>
          </a:extLst>
        </xdr:cNvPr>
        <xdr:cNvSpPr/>
      </xdr:nvSpPr>
      <xdr:spPr>
        <a:xfrm>
          <a:off x="8514603" y="4312646"/>
          <a:ext cx="2360706" cy="564153"/>
        </a:xfrm>
        <a:prstGeom prst="wedgeRectCallout">
          <a:avLst>
            <a:gd name="adj1" fmla="val -66096"/>
            <a:gd name="adj2" fmla="val -4391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Partidas</a:t>
          </a:r>
          <a:r>
            <a:rPr lang="es-CL" sz="1000" baseline="0">
              <a:solidFill>
                <a:srgbClr val="FF0000"/>
              </a:solidFill>
            </a:rPr>
            <a:t> del inciso segundo del art. 21 LIR que en primera instancia se deducen pero posteriormente se agregan.</a:t>
          </a:r>
          <a:endParaRPr lang="es-CL" sz="1000">
            <a:solidFill>
              <a:srgbClr val="FF0000"/>
            </a:solidFill>
          </a:endParaRPr>
        </a:p>
      </xdr:txBody>
    </xdr:sp>
    <xdr:clientData/>
  </xdr:twoCellAnchor>
  <xdr:twoCellAnchor>
    <xdr:from>
      <xdr:col>11</xdr:col>
      <xdr:colOff>28388</xdr:colOff>
      <xdr:row>25</xdr:row>
      <xdr:rowOff>39095</xdr:rowOff>
    </xdr:from>
    <xdr:to>
      <xdr:col>14</xdr:col>
      <xdr:colOff>409388</xdr:colOff>
      <xdr:row>28</xdr:row>
      <xdr:rowOff>190500</xdr:rowOff>
    </xdr:to>
    <xdr:sp macro="" textlink="">
      <xdr:nvSpPr>
        <xdr:cNvPr id="5" name="Speech Bubble: Rectangle 4">
          <a:extLst>
            <a:ext uri="{FF2B5EF4-FFF2-40B4-BE49-F238E27FC236}">
              <a16:creationId xmlns:a16="http://schemas.microsoft.com/office/drawing/2014/main" id="{00000000-0008-0000-0100-000005000000}"/>
            </a:ext>
          </a:extLst>
        </xdr:cNvPr>
        <xdr:cNvSpPr/>
      </xdr:nvSpPr>
      <xdr:spPr>
        <a:xfrm>
          <a:off x="9010463" y="5220695"/>
          <a:ext cx="2828925" cy="751480"/>
        </a:xfrm>
        <a:prstGeom prst="wedgeRectCallout">
          <a:avLst>
            <a:gd name="adj1" fmla="val -88877"/>
            <a:gd name="adj2" fmla="val -2696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0">
              <a:solidFill>
                <a:srgbClr val="0000FF"/>
              </a:solidFill>
            </a:rPr>
            <a:t>Las</a:t>
          </a:r>
          <a:r>
            <a:rPr lang="es-CL" sz="1000" b="0" baseline="0">
              <a:solidFill>
                <a:srgbClr val="0000FF"/>
              </a:solidFill>
            </a:rPr>
            <a:t> existencias y activo fijo pagados al 31.12.2019 y que forman parte del CPT a esa fecha, se consideran egreso a partir del 01.01.2020 y ser acreditadas fechacientemente.</a:t>
          </a:r>
          <a:endParaRPr lang="es-CL" sz="1000" b="0">
            <a:solidFill>
              <a:srgbClr val="0000FF"/>
            </a:solidFill>
          </a:endParaRPr>
        </a:p>
      </xdr:txBody>
    </xdr:sp>
    <xdr:clientData/>
  </xdr:twoCellAnchor>
  <xdr:twoCellAnchor>
    <xdr:from>
      <xdr:col>10</xdr:col>
      <xdr:colOff>423084</xdr:colOff>
      <xdr:row>3</xdr:row>
      <xdr:rowOff>28574</xdr:rowOff>
    </xdr:from>
    <xdr:to>
      <xdr:col>14</xdr:col>
      <xdr:colOff>514350</xdr:colOff>
      <xdr:row>7</xdr:row>
      <xdr:rowOff>57149</xdr:rowOff>
    </xdr:to>
    <xdr:sp macro="" textlink="">
      <xdr:nvSpPr>
        <xdr:cNvPr id="6" name="Speech Bubble: Rectangle 5">
          <a:extLst>
            <a:ext uri="{FF2B5EF4-FFF2-40B4-BE49-F238E27FC236}">
              <a16:creationId xmlns:a16="http://schemas.microsoft.com/office/drawing/2014/main" id="{00000000-0008-0000-0100-000006000000}"/>
            </a:ext>
          </a:extLst>
        </xdr:cNvPr>
        <xdr:cNvSpPr/>
      </xdr:nvSpPr>
      <xdr:spPr>
        <a:xfrm>
          <a:off x="8347884" y="828674"/>
          <a:ext cx="3596466" cy="809625"/>
        </a:xfrm>
        <a:prstGeom prst="wedgeRectCallout">
          <a:avLst>
            <a:gd name="adj1" fmla="val -61401"/>
            <a:gd name="adj2" fmla="val 3730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Aun cuando no se haya recibido el pago de la factura</a:t>
          </a:r>
          <a:r>
            <a:rPr lang="es-CL" sz="1000" baseline="0">
              <a:solidFill>
                <a:srgbClr val="FF0000"/>
              </a:solidFill>
            </a:rPr>
            <a:t> de venta, se debe reconocer el ingreso por cuanto esta operacón se ha efectuado con una parte relacionada sujeta al régimen del art. 14 letra A) de la LIR </a:t>
          </a:r>
          <a:endParaRPr lang="es-CL" sz="1000">
            <a:solidFill>
              <a:srgbClr val="FF0000"/>
            </a:solidFill>
          </a:endParaRPr>
        </a:p>
      </xdr:txBody>
    </xdr:sp>
    <xdr:clientData/>
  </xdr:twoCellAnchor>
  <xdr:twoCellAnchor>
    <xdr:from>
      <xdr:col>10</xdr:col>
      <xdr:colOff>430867</xdr:colOff>
      <xdr:row>7</xdr:row>
      <xdr:rowOff>101975</xdr:rowOff>
    </xdr:from>
    <xdr:to>
      <xdr:col>14</xdr:col>
      <xdr:colOff>495300</xdr:colOff>
      <xdr:row>10</xdr:row>
      <xdr:rowOff>171450</xdr:rowOff>
    </xdr:to>
    <xdr:sp macro="" textlink="">
      <xdr:nvSpPr>
        <xdr:cNvPr id="10" name="Speech Bubble: Rectangle 5">
          <a:extLst>
            <a:ext uri="{FF2B5EF4-FFF2-40B4-BE49-F238E27FC236}">
              <a16:creationId xmlns:a16="http://schemas.microsoft.com/office/drawing/2014/main" id="{00000000-0008-0000-0100-00000A000000}"/>
            </a:ext>
          </a:extLst>
        </xdr:cNvPr>
        <xdr:cNvSpPr/>
      </xdr:nvSpPr>
      <xdr:spPr>
        <a:xfrm>
          <a:off x="8355667" y="1683125"/>
          <a:ext cx="3569633" cy="669550"/>
        </a:xfrm>
        <a:prstGeom prst="wedgeRectCallout">
          <a:avLst>
            <a:gd name="adj1" fmla="val -62978"/>
            <a:gd name="adj2" fmla="val 1295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El monto del reajuste del PPM ascendió a $875 </a:t>
          </a:r>
          <a:r>
            <a:rPr lang="es-CL" sz="1000">
              <a:solidFill>
                <a:srgbClr val="0000FF"/>
              </a:solidFill>
              <a:effectLst/>
              <a:latin typeface="+mn-lt"/>
              <a:ea typeface="+mn-ea"/>
              <a:cs typeface="+mn-cs"/>
            </a:rPr>
            <a:t>($208.375. - $207.500)</a:t>
          </a:r>
          <a:r>
            <a:rPr lang="es-CL" sz="1000">
              <a:solidFill>
                <a:srgbClr val="0000FF"/>
              </a:solidFill>
            </a:rPr>
            <a:t> el cual debe ser reconocido en la Base</a:t>
          </a:r>
          <a:r>
            <a:rPr lang="es-CL" sz="1000" baseline="0">
              <a:solidFill>
                <a:srgbClr val="0000FF"/>
              </a:solidFill>
            </a:rPr>
            <a:t> imponible determinada </a:t>
          </a:r>
          <a:r>
            <a:rPr lang="es-CL" sz="1000">
              <a:solidFill>
                <a:srgbClr val="0000FF"/>
              </a:solidFill>
            </a:rPr>
            <a:t> al 31 de diciembre del 2020.</a:t>
          </a:r>
        </a:p>
      </xdr:txBody>
    </xdr:sp>
    <xdr:clientData/>
  </xdr:twoCellAnchor>
  <xdr:twoCellAnchor>
    <xdr:from>
      <xdr:col>10</xdr:col>
      <xdr:colOff>331694</xdr:colOff>
      <xdr:row>16</xdr:row>
      <xdr:rowOff>76200</xdr:rowOff>
    </xdr:from>
    <xdr:to>
      <xdr:col>12</xdr:col>
      <xdr:colOff>747058</xdr:colOff>
      <xdr:row>17</xdr:row>
      <xdr:rowOff>171450</xdr:rowOff>
    </xdr:to>
    <xdr:sp macro="" textlink="">
      <xdr:nvSpPr>
        <xdr:cNvPr id="11" name="Speech Bubble: Rectangle 2">
          <a:extLst>
            <a:ext uri="{FF2B5EF4-FFF2-40B4-BE49-F238E27FC236}">
              <a16:creationId xmlns:a16="http://schemas.microsoft.com/office/drawing/2014/main" id="{00000000-0008-0000-0100-00000B000000}"/>
            </a:ext>
          </a:extLst>
        </xdr:cNvPr>
        <xdr:cNvSpPr/>
      </xdr:nvSpPr>
      <xdr:spPr>
        <a:xfrm>
          <a:off x="8256494" y="3457575"/>
          <a:ext cx="2301314" cy="295275"/>
        </a:xfrm>
        <a:prstGeom prst="wedgeRectCallout">
          <a:avLst>
            <a:gd name="adj1" fmla="val -66885"/>
            <a:gd name="adj2" fmla="val 3317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FF0000"/>
              </a:solidFill>
            </a:rPr>
            <a:t>honorarios pagados durante el ejercicio </a:t>
          </a:r>
          <a:endParaRPr lang="es-CL" sz="1000">
            <a:solidFill>
              <a:srgbClr val="FF0000"/>
            </a:solidFill>
          </a:endParaRPr>
        </a:p>
      </xdr:txBody>
    </xdr:sp>
    <xdr:clientData/>
  </xdr:twoCellAnchor>
  <xdr:twoCellAnchor>
    <xdr:from>
      <xdr:col>10</xdr:col>
      <xdr:colOff>317687</xdr:colOff>
      <xdr:row>0</xdr:row>
      <xdr:rowOff>158563</xdr:rowOff>
    </xdr:from>
    <xdr:to>
      <xdr:col>14</xdr:col>
      <xdr:colOff>540061</xdr:colOff>
      <xdr:row>2</xdr:row>
      <xdr:rowOff>372781</xdr:rowOff>
    </xdr:to>
    <xdr:sp macro="" textlink="">
      <xdr:nvSpPr>
        <xdr:cNvPr id="12" name="Speech Bubble: Rectangle 5">
          <a:extLst>
            <a:ext uri="{FF2B5EF4-FFF2-40B4-BE49-F238E27FC236}">
              <a16:creationId xmlns:a16="http://schemas.microsoft.com/office/drawing/2014/main" id="{00000000-0008-0000-0100-00000C000000}"/>
            </a:ext>
          </a:extLst>
        </xdr:cNvPr>
        <xdr:cNvSpPr/>
      </xdr:nvSpPr>
      <xdr:spPr>
        <a:xfrm>
          <a:off x="8242487" y="158563"/>
          <a:ext cx="3727574" cy="604743"/>
        </a:xfrm>
        <a:prstGeom prst="wedgeRectCallout">
          <a:avLst>
            <a:gd name="adj1" fmla="val -63766"/>
            <a:gd name="adj2" fmla="val 814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En lo que resulte pertinente la Información</a:t>
          </a:r>
          <a:r>
            <a:rPr lang="es-CL" sz="1000" baseline="0">
              <a:solidFill>
                <a:srgbClr val="0000FF"/>
              </a:solidFill>
            </a:rPr>
            <a:t> es</a:t>
          </a:r>
          <a:r>
            <a:rPr lang="es-CL" sz="1000">
              <a:solidFill>
                <a:srgbClr val="0000FF"/>
              </a:solidFill>
            </a:rPr>
            <a:t> extraída del Registro electrónico de compras y ventas, contenido en</a:t>
          </a:r>
          <a:r>
            <a:rPr lang="es-CL" sz="1000" baseline="0">
              <a:solidFill>
                <a:srgbClr val="0000FF"/>
              </a:solidFill>
            </a:rPr>
            <a:t> el DL 825/1974</a:t>
          </a:r>
          <a:r>
            <a:rPr lang="es-CL" sz="1000">
              <a:solidFill>
                <a:srgbClr val="0000FF"/>
              </a:solidFill>
            </a:rPr>
            <a:t> y complementado</a:t>
          </a:r>
          <a:r>
            <a:rPr lang="es-CL" sz="1000" baseline="0">
              <a:solidFill>
                <a:srgbClr val="0000FF"/>
              </a:solidFill>
            </a:rPr>
            <a:t> y/o ajustado por el contribuyente.</a:t>
          </a:r>
          <a:endParaRPr lang="es-CL" sz="1000">
            <a:solidFill>
              <a:srgbClr val="0000FF"/>
            </a:solidFill>
          </a:endParaRPr>
        </a:p>
      </xdr:txBody>
    </xdr:sp>
    <xdr:clientData/>
  </xdr:twoCellAnchor>
  <xdr:twoCellAnchor>
    <xdr:from>
      <xdr:col>1</xdr:col>
      <xdr:colOff>28575</xdr:colOff>
      <xdr:row>50</xdr:row>
      <xdr:rowOff>123826</xdr:rowOff>
    </xdr:from>
    <xdr:to>
      <xdr:col>5</xdr:col>
      <xdr:colOff>895350</xdr:colOff>
      <xdr:row>56</xdr:row>
      <xdr:rowOff>66676</xdr:rowOff>
    </xdr:to>
    <xdr:sp macro="" textlink="">
      <xdr:nvSpPr>
        <xdr:cNvPr id="15" name="Speech Bubble: Rectangle 1">
          <a:extLst>
            <a:ext uri="{FF2B5EF4-FFF2-40B4-BE49-F238E27FC236}">
              <a16:creationId xmlns:a16="http://schemas.microsoft.com/office/drawing/2014/main" id="{0EC41109-B878-459B-9E2C-CB3D741C5D1A}"/>
            </a:ext>
          </a:extLst>
        </xdr:cNvPr>
        <xdr:cNvSpPr/>
      </xdr:nvSpPr>
      <xdr:spPr>
        <a:xfrm>
          <a:off x="323850" y="10487026"/>
          <a:ext cx="4533900" cy="1143000"/>
        </a:xfrm>
        <a:prstGeom prst="wedgeRectCallout">
          <a:avLst>
            <a:gd name="adj1" fmla="val 19506"/>
            <a:gd name="adj2" fmla="val -6908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b="0" i="0" u="none" strike="noStrike" baseline="0">
              <a:solidFill>
                <a:srgbClr val="FF0000"/>
              </a:solidFill>
              <a:latin typeface="+mn-lt"/>
              <a:ea typeface="+mn-ea"/>
              <a:cs typeface="+mn-cs"/>
            </a:rPr>
            <a:t>Dicha rebaja no será aplicable a empresas que pongan término a su giro respecto de la RLI que determinen en el ejercicio en que dicho término de giro se produce, toda vez que las rentas acumuladas se entienden retiradas, remesadas o distribuidas y por tanto, no se mantendrán invertidas, lo que incumple la condición que establece la norma señalada. </a:t>
          </a:r>
        </a:p>
        <a:p>
          <a:pPr algn="ctr"/>
          <a:r>
            <a:rPr lang="es-CL" sz="1100" b="0" i="0" u="none" strike="noStrike" baseline="0">
              <a:solidFill>
                <a:srgbClr val="FF0000"/>
              </a:solidFill>
              <a:latin typeface="+mn-lt"/>
              <a:ea typeface="+mn-ea"/>
              <a:cs typeface="+mn-cs"/>
            </a:rPr>
            <a:t>(3.2.3 Circular 73 de 2020)</a:t>
          </a:r>
          <a:endParaRPr lang="es-CL" sz="1000">
            <a:solidFill>
              <a:srgbClr val="FF0000"/>
            </a:solidFill>
          </a:endParaRPr>
        </a:p>
      </xdr:txBody>
    </xdr:sp>
    <xdr:clientData/>
  </xdr:twoCellAnchor>
  <xdr:twoCellAnchor>
    <xdr:from>
      <xdr:col>10</xdr:col>
      <xdr:colOff>149162</xdr:colOff>
      <xdr:row>51</xdr:row>
      <xdr:rowOff>112374</xdr:rowOff>
    </xdr:from>
    <xdr:to>
      <xdr:col>11</xdr:col>
      <xdr:colOff>723339</xdr:colOff>
      <xdr:row>54</xdr:row>
      <xdr:rowOff>86911</xdr:rowOff>
    </xdr:to>
    <xdr:sp macro="" textlink="">
      <xdr:nvSpPr>
        <xdr:cNvPr id="16" name="Speech Bubble: Rectangle 15">
          <a:extLst>
            <a:ext uri="{FF2B5EF4-FFF2-40B4-BE49-F238E27FC236}">
              <a16:creationId xmlns:a16="http://schemas.microsoft.com/office/drawing/2014/main" id="{CA195862-0BF0-48C0-81E9-255C1A8A72F1}"/>
            </a:ext>
          </a:extLst>
        </xdr:cNvPr>
        <xdr:cNvSpPr/>
      </xdr:nvSpPr>
      <xdr:spPr>
        <a:xfrm>
          <a:off x="8073962" y="10666074"/>
          <a:ext cx="1631452" cy="603187"/>
        </a:xfrm>
        <a:prstGeom prst="wedgeRectCallout">
          <a:avLst>
            <a:gd name="adj1" fmla="val -68334"/>
            <a:gd name="adj2" fmla="val -24022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Todos los montos</a:t>
          </a:r>
          <a:r>
            <a:rPr lang="es-CL" sz="1000" baseline="0">
              <a:solidFill>
                <a:srgbClr val="FF0000"/>
              </a:solidFill>
            </a:rPr>
            <a:t> deben ser registrados a valores históricos.</a:t>
          </a:r>
          <a:endParaRPr lang="es-CL" sz="1000">
            <a:solidFill>
              <a:srgbClr val="FF0000"/>
            </a:solidFill>
          </a:endParaRPr>
        </a:p>
      </xdr:txBody>
    </xdr:sp>
    <xdr:clientData/>
  </xdr:twoCellAnchor>
  <xdr:twoCellAnchor>
    <xdr:from>
      <xdr:col>10</xdr:col>
      <xdr:colOff>533627</xdr:colOff>
      <xdr:row>46</xdr:row>
      <xdr:rowOff>136713</xdr:rowOff>
    </xdr:from>
    <xdr:to>
      <xdr:col>14</xdr:col>
      <xdr:colOff>647699</xdr:colOff>
      <xdr:row>50</xdr:row>
      <xdr:rowOff>70660</xdr:rowOff>
    </xdr:to>
    <xdr:sp macro="" textlink="">
      <xdr:nvSpPr>
        <xdr:cNvPr id="17" name="Speech Bubble: Rectangle 1">
          <a:extLst>
            <a:ext uri="{FF2B5EF4-FFF2-40B4-BE49-F238E27FC236}">
              <a16:creationId xmlns:a16="http://schemas.microsoft.com/office/drawing/2014/main" id="{FFCDB2E2-D6BD-4BEF-BE48-E99A5F18FF46}"/>
            </a:ext>
          </a:extLst>
        </xdr:cNvPr>
        <xdr:cNvSpPr/>
      </xdr:nvSpPr>
      <xdr:spPr>
        <a:xfrm>
          <a:off x="8458427" y="9718863"/>
          <a:ext cx="3619272" cy="714997"/>
        </a:xfrm>
        <a:prstGeom prst="wedgeRectCallout">
          <a:avLst>
            <a:gd name="adj1" fmla="val -68016"/>
            <a:gd name="adj2" fmla="val -14261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Se debe deducir</a:t>
          </a:r>
          <a:r>
            <a:rPr lang="es-CL" sz="1000" baseline="0">
              <a:solidFill>
                <a:srgbClr val="0000FF"/>
              </a:solidFill>
            </a:rPr>
            <a:t> el 100% de </a:t>
          </a:r>
          <a:r>
            <a:rPr lang="es-CL" sz="1000">
              <a:solidFill>
                <a:srgbClr val="0000FF"/>
              </a:solidFill>
            </a:rPr>
            <a:t>los retiros históricos a todo evento, </a:t>
          </a:r>
          <a:r>
            <a:rPr lang="es-CL" sz="1000" baseline="0">
              <a:solidFill>
                <a:srgbClr val="0000FF"/>
              </a:solidFill>
            </a:rPr>
            <a:t> independientemente si se encuentran o no afectos a impuestos finales.</a:t>
          </a:r>
          <a:endParaRPr lang="es-CL" sz="1000">
            <a:solidFill>
              <a:srgbClr val="0000FF"/>
            </a:solidFill>
          </a:endParaRPr>
        </a:p>
      </xdr:txBody>
    </xdr:sp>
    <xdr:clientData/>
  </xdr:twoCellAnchor>
  <xdr:twoCellAnchor>
    <xdr:from>
      <xdr:col>10</xdr:col>
      <xdr:colOff>506172</xdr:colOff>
      <xdr:row>39</xdr:row>
      <xdr:rowOff>142875</xdr:rowOff>
    </xdr:from>
    <xdr:to>
      <xdr:col>14</xdr:col>
      <xdr:colOff>695324</xdr:colOff>
      <xdr:row>45</xdr:row>
      <xdr:rowOff>108760</xdr:rowOff>
    </xdr:to>
    <xdr:sp macro="" textlink="">
      <xdr:nvSpPr>
        <xdr:cNvPr id="18" name="Speech Bubble: Rectangle 1">
          <a:extLst>
            <a:ext uri="{FF2B5EF4-FFF2-40B4-BE49-F238E27FC236}">
              <a16:creationId xmlns:a16="http://schemas.microsoft.com/office/drawing/2014/main" id="{E35C4C6D-A696-49A8-A66F-4E6435DF39CD}"/>
            </a:ext>
          </a:extLst>
        </xdr:cNvPr>
        <xdr:cNvSpPr/>
      </xdr:nvSpPr>
      <xdr:spPr>
        <a:xfrm>
          <a:off x="8430972" y="8267700"/>
          <a:ext cx="3694352" cy="1223185"/>
        </a:xfrm>
        <a:prstGeom prst="wedgeRectCallout">
          <a:avLst>
            <a:gd name="adj1" fmla="val -66957"/>
            <a:gd name="adj2" fmla="val -643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La empresa</a:t>
          </a:r>
          <a:r>
            <a:rPr lang="es-CL" sz="1000" baseline="0">
              <a:solidFill>
                <a:srgbClr val="FF0000"/>
              </a:solidFill>
            </a:rPr>
            <a:t> cumple con el requisito de tener un </a:t>
          </a:r>
          <a:r>
            <a:rPr lang="es-CL" sz="1000">
              <a:solidFill>
                <a:srgbClr val="FF0000"/>
              </a:solidFill>
            </a:rPr>
            <a:t>promedio anual de ingresos de su giro en los tres años comerciales anteriores al año en que se debe ejercer la opción (abril) que no exceda de las 100.000 UF,</a:t>
          </a:r>
          <a:r>
            <a:rPr lang="es-CL" sz="1000" baseline="0">
              <a:solidFill>
                <a:srgbClr val="FF0000"/>
              </a:solidFill>
            </a:rPr>
            <a:t> para esto se</a:t>
          </a:r>
          <a:r>
            <a:rPr lang="es-CL" sz="1000">
              <a:solidFill>
                <a:srgbClr val="FF0000"/>
              </a:solidFill>
            </a:rPr>
            <a:t> considerarán los ingresos obtenidos por sus empresas relacionadas en los términos del N° 17 del art. 8° del CT, aplicando para ese efecto lo dispuesto en la letra (b) del N° 1 de la letra D) del art 14.</a:t>
          </a:r>
        </a:p>
      </xdr:txBody>
    </xdr:sp>
    <xdr:clientData/>
  </xdr:twoCellAnchor>
  <xdr:twoCellAnchor>
    <xdr:from>
      <xdr:col>6</xdr:col>
      <xdr:colOff>800100</xdr:colOff>
      <xdr:row>51</xdr:row>
      <xdr:rowOff>80186</xdr:rowOff>
    </xdr:from>
    <xdr:to>
      <xdr:col>10</xdr:col>
      <xdr:colOff>9525</xdr:colOff>
      <xdr:row>54</xdr:row>
      <xdr:rowOff>108761</xdr:rowOff>
    </xdr:to>
    <xdr:sp macro="" textlink="">
      <xdr:nvSpPr>
        <xdr:cNvPr id="19" name="Speech Bubble: Rectangle 1">
          <a:extLst>
            <a:ext uri="{FF2B5EF4-FFF2-40B4-BE49-F238E27FC236}">
              <a16:creationId xmlns:a16="http://schemas.microsoft.com/office/drawing/2014/main" id="{48D11764-05B4-4458-A177-751AC16AA9E0}"/>
            </a:ext>
          </a:extLst>
        </xdr:cNvPr>
        <xdr:cNvSpPr/>
      </xdr:nvSpPr>
      <xdr:spPr>
        <a:xfrm>
          <a:off x="5857875" y="10633886"/>
          <a:ext cx="2076450" cy="657225"/>
        </a:xfrm>
        <a:prstGeom prst="wedgeRectCallout">
          <a:avLst>
            <a:gd name="adj1" fmla="val 14674"/>
            <a:gd name="adj2" fmla="val -12019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No existe</a:t>
          </a:r>
          <a:r>
            <a:rPr lang="es-CL" sz="1000" baseline="0">
              <a:solidFill>
                <a:srgbClr val="0000FF"/>
              </a:solidFill>
            </a:rPr>
            <a:t> la obligación de reponer esta deducción en ejercicios futuros.</a:t>
          </a:r>
          <a:endParaRPr lang="es-CL" sz="10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47625</xdr:rowOff>
    </xdr:from>
    <xdr:to>
      <xdr:col>9</xdr:col>
      <xdr:colOff>247650</xdr:colOff>
      <xdr:row>3</xdr:row>
      <xdr:rowOff>152400</xdr:rowOff>
    </xdr:to>
    <xdr:pic>
      <xdr:nvPicPr>
        <xdr:cNvPr id="2" name="Imagen 2" descr="logo_sii">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5717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709085</xdr:colOff>
      <xdr:row>10</xdr:row>
      <xdr:rowOff>116416</xdr:rowOff>
    </xdr:from>
    <xdr:to>
      <xdr:col>9</xdr:col>
      <xdr:colOff>201085</xdr:colOff>
      <xdr:row>14</xdr:row>
      <xdr:rowOff>846</xdr:rowOff>
    </xdr:to>
    <xdr:sp macro="" textlink="">
      <xdr:nvSpPr>
        <xdr:cNvPr id="2" name="Speech Bubble: Rectangle 1">
          <a:extLst>
            <a:ext uri="{FF2B5EF4-FFF2-40B4-BE49-F238E27FC236}">
              <a16:creationId xmlns:a16="http://schemas.microsoft.com/office/drawing/2014/main" id="{00000000-0008-0000-0300-000002000000}"/>
            </a:ext>
          </a:extLst>
        </xdr:cNvPr>
        <xdr:cNvSpPr/>
      </xdr:nvSpPr>
      <xdr:spPr>
        <a:xfrm>
          <a:off x="6246285" y="2182283"/>
          <a:ext cx="2362200" cy="680296"/>
        </a:xfrm>
        <a:prstGeom prst="wedgeRectCallout">
          <a:avLst>
            <a:gd name="adj1" fmla="val -80560"/>
            <a:gd name="adj2" fmla="val 3203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Corresponde</a:t>
          </a:r>
          <a:r>
            <a:rPr lang="es-CL" sz="1100" baseline="0">
              <a:solidFill>
                <a:srgbClr val="0000FF"/>
              </a:solidFill>
            </a:rPr>
            <a:t> a la sumatoria del RAP $2.500.000 más  el INR de $80.000 </a:t>
          </a:r>
          <a:r>
            <a:rPr lang="es-CL" sz="1100" u="sng" baseline="0">
              <a:solidFill>
                <a:srgbClr val="0000FF"/>
              </a:solidFill>
            </a:rPr>
            <a:t>antes de imputar los retiros.</a:t>
          </a:r>
          <a:endParaRPr lang="es-CL" sz="1100" u="sng">
            <a:solidFill>
              <a:srgbClr val="0000FF"/>
            </a:solidFill>
          </a:endParaRPr>
        </a:p>
      </xdr:txBody>
    </xdr:sp>
    <xdr:clientData/>
  </xdr:twoCellAnchor>
  <xdr:twoCellAnchor>
    <xdr:from>
      <xdr:col>6</xdr:col>
      <xdr:colOff>563033</xdr:colOff>
      <xdr:row>3</xdr:row>
      <xdr:rowOff>146756</xdr:rowOff>
    </xdr:from>
    <xdr:to>
      <xdr:col>8</xdr:col>
      <xdr:colOff>914402</xdr:colOff>
      <xdr:row>6</xdr:row>
      <xdr:rowOff>55033</xdr:rowOff>
    </xdr:to>
    <xdr:sp macro="" textlink="">
      <xdr:nvSpPr>
        <xdr:cNvPr id="3" name="Speech Bubble: Rectangle 1">
          <a:extLst>
            <a:ext uri="{FF2B5EF4-FFF2-40B4-BE49-F238E27FC236}">
              <a16:creationId xmlns:a16="http://schemas.microsoft.com/office/drawing/2014/main" id="{00000000-0008-0000-0300-000003000000}"/>
            </a:ext>
          </a:extLst>
        </xdr:cNvPr>
        <xdr:cNvSpPr/>
      </xdr:nvSpPr>
      <xdr:spPr>
        <a:xfrm>
          <a:off x="6100233" y="781756"/>
          <a:ext cx="2298702" cy="509410"/>
        </a:xfrm>
        <a:prstGeom prst="wedgeRectCallout">
          <a:avLst>
            <a:gd name="adj1" fmla="val -76638"/>
            <a:gd name="adj2" fmla="val -1730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Corresponde</a:t>
          </a:r>
          <a:r>
            <a:rPr lang="es-CL" sz="1100" baseline="0">
              <a:solidFill>
                <a:srgbClr val="FF0000"/>
              </a:solidFill>
            </a:rPr>
            <a:t> al s</a:t>
          </a:r>
          <a:r>
            <a:rPr lang="es-CL" sz="1100">
              <a:solidFill>
                <a:srgbClr val="FF0000"/>
              </a:solidFill>
            </a:rPr>
            <a:t>aldo del registro</a:t>
          </a:r>
          <a:r>
            <a:rPr lang="es-CL" sz="1100" baseline="0">
              <a:solidFill>
                <a:srgbClr val="FF0000"/>
              </a:solidFill>
            </a:rPr>
            <a:t> RAP al 31.12.2019.</a:t>
          </a:r>
          <a:endParaRPr lang="es-CL" sz="1100">
            <a:solidFill>
              <a:srgbClr val="FF0000"/>
            </a:solidFill>
          </a:endParaRPr>
        </a:p>
      </xdr:txBody>
    </xdr:sp>
    <xdr:clientData/>
  </xdr:twoCellAnchor>
  <xdr:twoCellAnchor>
    <xdr:from>
      <xdr:col>6</xdr:col>
      <xdr:colOff>355600</xdr:colOff>
      <xdr:row>0</xdr:row>
      <xdr:rowOff>110066</xdr:rowOff>
    </xdr:from>
    <xdr:to>
      <xdr:col>8</xdr:col>
      <xdr:colOff>706969</xdr:colOff>
      <xdr:row>2</xdr:row>
      <xdr:rowOff>179209</xdr:rowOff>
    </xdr:to>
    <xdr:sp macro="" textlink="">
      <xdr:nvSpPr>
        <xdr:cNvPr id="4" name="Speech Bubble: Rectangle 1">
          <a:extLst>
            <a:ext uri="{FF2B5EF4-FFF2-40B4-BE49-F238E27FC236}">
              <a16:creationId xmlns:a16="http://schemas.microsoft.com/office/drawing/2014/main" id="{00000000-0008-0000-0300-000004000000}"/>
            </a:ext>
          </a:extLst>
        </xdr:cNvPr>
        <xdr:cNvSpPr/>
      </xdr:nvSpPr>
      <xdr:spPr>
        <a:xfrm>
          <a:off x="5892800" y="110066"/>
          <a:ext cx="2298702" cy="509410"/>
        </a:xfrm>
        <a:prstGeom prst="wedgeRectCallout">
          <a:avLst>
            <a:gd name="adj1" fmla="val -64115"/>
            <a:gd name="adj2" fmla="val 7410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Corresponde al monto informado en el código 645 del</a:t>
          </a:r>
          <a:r>
            <a:rPr lang="es-CL" sz="1100" baseline="0">
              <a:solidFill>
                <a:srgbClr val="0000FF"/>
              </a:solidFill>
            </a:rPr>
            <a:t> F22 AT 2020.</a:t>
          </a:r>
          <a:endParaRPr lang="es-CL" sz="1100">
            <a:solidFill>
              <a:srgbClr val="0000FF"/>
            </a:solidFill>
          </a:endParaRPr>
        </a:p>
      </xdr:txBody>
    </xdr:sp>
    <xdr:clientData/>
  </xdr:twoCellAnchor>
  <xdr:twoCellAnchor>
    <xdr:from>
      <xdr:col>6</xdr:col>
      <xdr:colOff>431800</xdr:colOff>
      <xdr:row>15</xdr:row>
      <xdr:rowOff>169332</xdr:rowOff>
    </xdr:from>
    <xdr:to>
      <xdr:col>9</xdr:col>
      <xdr:colOff>355600</xdr:colOff>
      <xdr:row>19</xdr:row>
      <xdr:rowOff>76200</xdr:rowOff>
    </xdr:to>
    <xdr:sp macro="" textlink="">
      <xdr:nvSpPr>
        <xdr:cNvPr id="5" name="Speech Bubble: Rectangle 1">
          <a:extLst>
            <a:ext uri="{FF2B5EF4-FFF2-40B4-BE49-F238E27FC236}">
              <a16:creationId xmlns:a16="http://schemas.microsoft.com/office/drawing/2014/main" id="{00000000-0008-0000-0300-000005000000}"/>
            </a:ext>
          </a:extLst>
        </xdr:cNvPr>
        <xdr:cNvSpPr/>
      </xdr:nvSpPr>
      <xdr:spPr>
        <a:xfrm>
          <a:off x="5969000" y="3234265"/>
          <a:ext cx="2794000" cy="668868"/>
        </a:xfrm>
        <a:prstGeom prst="wedgeRectCallout">
          <a:avLst>
            <a:gd name="adj1" fmla="val -67085"/>
            <a:gd name="adj2" fmla="val -9281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En caso de existir</a:t>
          </a:r>
          <a:r>
            <a:rPr lang="es-CL" sz="1100" baseline="0">
              <a:solidFill>
                <a:srgbClr val="FF0000"/>
              </a:solidFill>
            </a:rPr>
            <a:t> aportes de capital durante el ejercicio en curso dichos valores se deben considerar históricos.</a:t>
          </a:r>
          <a:endParaRPr lang="es-CL"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104775</xdr:rowOff>
    </xdr:to>
    <xdr:pic>
      <xdr:nvPicPr>
        <xdr:cNvPr id="5" name="Imagen 2" descr="logo_sii">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20002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44450</xdr:colOff>
      <xdr:row>5</xdr:row>
      <xdr:rowOff>82550</xdr:rowOff>
    </xdr:from>
    <xdr:to>
      <xdr:col>13</xdr:col>
      <xdr:colOff>138994</xdr:colOff>
      <xdr:row>8</xdr:row>
      <xdr:rowOff>183797</xdr:rowOff>
    </xdr:to>
    <xdr:sp macro="" textlink="">
      <xdr:nvSpPr>
        <xdr:cNvPr id="3" name="Speech Bubble: Rectangle 1">
          <a:extLst>
            <a:ext uri="{FF2B5EF4-FFF2-40B4-BE49-F238E27FC236}">
              <a16:creationId xmlns:a16="http://schemas.microsoft.com/office/drawing/2014/main" id="{00000000-0008-0000-0400-000003000000}"/>
            </a:ext>
          </a:extLst>
        </xdr:cNvPr>
        <xdr:cNvSpPr/>
      </xdr:nvSpPr>
      <xdr:spPr>
        <a:xfrm>
          <a:off x="9051290" y="1088390"/>
          <a:ext cx="2334824" cy="703227"/>
        </a:xfrm>
        <a:prstGeom prst="wedgeRectCallout">
          <a:avLst>
            <a:gd name="adj1" fmla="val -80009"/>
            <a:gd name="adj2" fmla="val 3841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Corresponde</a:t>
          </a:r>
          <a:r>
            <a:rPr lang="es-CL" sz="1100" baseline="0">
              <a:solidFill>
                <a:srgbClr val="0000FF"/>
              </a:solidFill>
            </a:rPr>
            <a:t> a la sumatoria del registro RAP $2.500.000 más el INR de $80.000 antes de imputar los retiros</a:t>
          </a:r>
          <a:endParaRPr lang="es-CL" sz="1100">
            <a:solidFill>
              <a:srgbClr val="0000FF"/>
            </a:solidFill>
          </a:endParaRPr>
        </a:p>
      </xdr:txBody>
    </xdr:sp>
    <xdr:clientData/>
  </xdr:twoCellAnchor>
  <xdr:twoCellAnchor>
    <xdr:from>
      <xdr:col>6</xdr:col>
      <xdr:colOff>85725</xdr:colOff>
      <xdr:row>9</xdr:row>
      <xdr:rowOff>136524</xdr:rowOff>
    </xdr:from>
    <xdr:to>
      <xdr:col>13</xdr:col>
      <xdr:colOff>164394</xdr:colOff>
      <xdr:row>12</xdr:row>
      <xdr:rowOff>129540</xdr:rowOff>
    </xdr:to>
    <xdr:sp macro="" textlink="">
      <xdr:nvSpPr>
        <xdr:cNvPr id="4" name="Speech Bubble: Rectangle 1">
          <a:extLst>
            <a:ext uri="{FF2B5EF4-FFF2-40B4-BE49-F238E27FC236}">
              <a16:creationId xmlns:a16="http://schemas.microsoft.com/office/drawing/2014/main" id="{00000000-0008-0000-0400-000004000000}"/>
            </a:ext>
          </a:extLst>
        </xdr:cNvPr>
        <xdr:cNvSpPr/>
      </xdr:nvSpPr>
      <xdr:spPr>
        <a:xfrm>
          <a:off x="9092565" y="1950084"/>
          <a:ext cx="2318949" cy="640716"/>
        </a:xfrm>
        <a:prstGeom prst="wedgeRectCallout">
          <a:avLst>
            <a:gd name="adj1" fmla="val -80690"/>
            <a:gd name="adj2" fmla="val -5380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Corresponde</a:t>
          </a:r>
          <a:r>
            <a:rPr lang="es-CL" sz="1100" baseline="0">
              <a:solidFill>
                <a:srgbClr val="FF0000"/>
              </a:solidFill>
            </a:rPr>
            <a:t> al </a:t>
          </a:r>
          <a:r>
            <a:rPr lang="es-CL" sz="1100">
              <a:solidFill>
                <a:srgbClr val="FF0000"/>
              </a:solidFill>
              <a:latin typeface="+mn-lt"/>
              <a:ea typeface="+mn-ea"/>
              <a:cs typeface="+mn-cs"/>
            </a:rPr>
            <a:t>capital aportado reajustado al 31.12.2019, sin reajuste por el año 2020.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497416</xdr:colOff>
      <xdr:row>10</xdr:row>
      <xdr:rowOff>15395</xdr:rowOff>
    </xdr:from>
    <xdr:to>
      <xdr:col>8</xdr:col>
      <xdr:colOff>830879</xdr:colOff>
      <xdr:row>12</xdr:row>
      <xdr:rowOff>121227</xdr:rowOff>
    </xdr:to>
    <xdr:sp macro="" textlink="">
      <xdr:nvSpPr>
        <xdr:cNvPr id="2" name="Speech Bubble: Rectangle 1">
          <a:extLst>
            <a:ext uri="{FF2B5EF4-FFF2-40B4-BE49-F238E27FC236}">
              <a16:creationId xmlns:a16="http://schemas.microsoft.com/office/drawing/2014/main" id="{00000000-0008-0000-0500-000002000000}"/>
            </a:ext>
          </a:extLst>
        </xdr:cNvPr>
        <xdr:cNvSpPr/>
      </xdr:nvSpPr>
      <xdr:spPr>
        <a:xfrm>
          <a:off x="6125825" y="2058940"/>
          <a:ext cx="2446281" cy="512810"/>
        </a:xfrm>
        <a:prstGeom prst="wedgeRectCallout">
          <a:avLst>
            <a:gd name="adj1" fmla="val -70610"/>
            <a:gd name="adj2" fmla="val -3375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Disminución</a:t>
          </a:r>
          <a:r>
            <a:rPr lang="es-CL" sz="1100" baseline="0">
              <a:solidFill>
                <a:srgbClr val="FF0000"/>
              </a:solidFill>
            </a:rPr>
            <a:t> de la Base Imponible  que no representa flujo.</a:t>
          </a:r>
          <a:endParaRPr lang="es-CL" sz="1100">
            <a:solidFill>
              <a:srgbClr val="FF0000"/>
            </a:solidFill>
          </a:endParaRPr>
        </a:p>
      </xdr:txBody>
    </xdr:sp>
    <xdr:clientData/>
  </xdr:twoCellAnchor>
  <xdr:twoCellAnchor>
    <xdr:from>
      <xdr:col>6</xdr:col>
      <xdr:colOff>412751</xdr:colOff>
      <xdr:row>5</xdr:row>
      <xdr:rowOff>105834</xdr:rowOff>
    </xdr:from>
    <xdr:to>
      <xdr:col>8</xdr:col>
      <xdr:colOff>822615</xdr:colOff>
      <xdr:row>8</xdr:row>
      <xdr:rowOff>173182</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6041160" y="1136266"/>
          <a:ext cx="2522682" cy="673484"/>
        </a:xfrm>
        <a:prstGeom prst="wedgeRectCallout">
          <a:avLst>
            <a:gd name="adj1" fmla="val -66805"/>
            <a:gd name="adj2" fmla="val 4629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Partidas que han disminuido</a:t>
          </a:r>
          <a:r>
            <a:rPr lang="es-CL" sz="1100" baseline="0">
              <a:solidFill>
                <a:srgbClr val="0000FF"/>
              </a:solidFill>
            </a:rPr>
            <a:t> el CPT pero que no afectan la base imponilbe.</a:t>
          </a:r>
          <a:endParaRPr lang="es-CL" sz="1100">
            <a:solidFill>
              <a:srgbClr val="0000FF"/>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9525</xdr:rowOff>
    </xdr:to>
    <xdr:pic>
      <xdr:nvPicPr>
        <xdr:cNvPr id="2" name="Imagen 2" descr="logo_sii">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643467</xdr:colOff>
      <xdr:row>5</xdr:row>
      <xdr:rowOff>139698</xdr:rowOff>
    </xdr:from>
    <xdr:to>
      <xdr:col>5</xdr:col>
      <xdr:colOff>341552</xdr:colOff>
      <xdr:row>6</xdr:row>
      <xdr:rowOff>74084</xdr:rowOff>
    </xdr:to>
    <xdr:sp macro="" textlink="">
      <xdr:nvSpPr>
        <xdr:cNvPr id="2" name="Speech Bubble: Rectangle 1">
          <a:extLst>
            <a:ext uri="{FF2B5EF4-FFF2-40B4-BE49-F238E27FC236}">
              <a16:creationId xmlns:a16="http://schemas.microsoft.com/office/drawing/2014/main" id="{00000000-0008-0000-0700-000002000000}"/>
            </a:ext>
          </a:extLst>
        </xdr:cNvPr>
        <xdr:cNvSpPr/>
      </xdr:nvSpPr>
      <xdr:spPr>
        <a:xfrm>
          <a:off x="1634067" y="1062565"/>
          <a:ext cx="2779952" cy="527052"/>
        </a:xfrm>
        <a:prstGeom prst="wedgeRectCallout">
          <a:avLst>
            <a:gd name="adj1" fmla="val 46600"/>
            <a:gd name="adj2" fmla="val 9779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Todos los montos</a:t>
          </a:r>
          <a:r>
            <a:rPr lang="es-CL" sz="1100" baseline="0">
              <a:solidFill>
                <a:srgbClr val="FF0000"/>
              </a:solidFill>
            </a:rPr>
            <a:t> deben ser registrados a valores históricos.</a:t>
          </a:r>
          <a:endParaRPr lang="es-CL" sz="1100">
            <a:solidFill>
              <a:srgbClr val="FF0000"/>
            </a:solidFill>
          </a:endParaRPr>
        </a:p>
      </xdr:txBody>
    </xdr:sp>
    <xdr:clientData/>
  </xdr:twoCellAnchor>
  <xdr:twoCellAnchor>
    <xdr:from>
      <xdr:col>9</xdr:col>
      <xdr:colOff>933938</xdr:colOff>
      <xdr:row>25</xdr:row>
      <xdr:rowOff>5512</xdr:rowOff>
    </xdr:from>
    <xdr:to>
      <xdr:col>12</xdr:col>
      <xdr:colOff>349739</xdr:colOff>
      <xdr:row>28</xdr:row>
      <xdr:rowOff>62662</xdr:rowOff>
    </xdr:to>
    <xdr:sp macro="" textlink="">
      <xdr:nvSpPr>
        <xdr:cNvPr id="3" name="Speech Bubble: Rectangle 2">
          <a:extLst>
            <a:ext uri="{FF2B5EF4-FFF2-40B4-BE49-F238E27FC236}">
              <a16:creationId xmlns:a16="http://schemas.microsoft.com/office/drawing/2014/main" id="{00000000-0008-0000-0700-000003000000}"/>
            </a:ext>
          </a:extLst>
        </xdr:cNvPr>
        <xdr:cNvSpPr/>
      </xdr:nvSpPr>
      <xdr:spPr>
        <a:xfrm>
          <a:off x="9056356" y="6379935"/>
          <a:ext cx="2283768" cy="622370"/>
        </a:xfrm>
        <a:prstGeom prst="wedgeRectCallout">
          <a:avLst>
            <a:gd name="adj1" fmla="val -47155"/>
            <a:gd name="adj2" fmla="val -15057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Corresponde</a:t>
          </a:r>
          <a:r>
            <a:rPr lang="es-CL" sz="1100" baseline="0">
              <a:solidFill>
                <a:srgbClr val="0000FF"/>
              </a:solidFill>
            </a:rPr>
            <a:t> al CIDP </a:t>
          </a:r>
          <a:r>
            <a:rPr lang="es-CL" sz="1100">
              <a:solidFill>
                <a:srgbClr val="0000FF"/>
              </a:solidFill>
              <a:latin typeface="+mn-lt"/>
              <a:ea typeface="+mn-ea"/>
              <a:cs typeface="+mn-cs"/>
            </a:rPr>
            <a:t>asociados a las multas e intereses fiscales  ($140.000 * 0,111111)</a:t>
          </a:r>
        </a:p>
      </xdr:txBody>
    </xdr:sp>
    <xdr:clientData/>
  </xdr:twoCellAnchor>
  <xdr:twoCellAnchor>
    <xdr:from>
      <xdr:col>12</xdr:col>
      <xdr:colOff>708024</xdr:colOff>
      <xdr:row>1</xdr:row>
      <xdr:rowOff>33867</xdr:rowOff>
    </xdr:from>
    <xdr:to>
      <xdr:col>17</xdr:col>
      <xdr:colOff>381000</xdr:colOff>
      <xdr:row>3</xdr:row>
      <xdr:rowOff>154517</xdr:rowOff>
    </xdr:to>
    <xdr:sp macro="" textlink="">
      <xdr:nvSpPr>
        <xdr:cNvPr id="4" name="Speech Bubble: Rectangle 3">
          <a:extLst>
            <a:ext uri="{FF2B5EF4-FFF2-40B4-BE49-F238E27FC236}">
              <a16:creationId xmlns:a16="http://schemas.microsoft.com/office/drawing/2014/main" id="{00000000-0008-0000-0700-000004000000}"/>
            </a:ext>
          </a:extLst>
        </xdr:cNvPr>
        <xdr:cNvSpPr/>
      </xdr:nvSpPr>
      <xdr:spPr>
        <a:xfrm>
          <a:off x="10883899" y="224367"/>
          <a:ext cx="2974976" cy="644525"/>
        </a:xfrm>
        <a:prstGeom prst="wedgeRectCallout">
          <a:avLst>
            <a:gd name="adj1" fmla="val -67109"/>
            <a:gd name="adj2" fmla="val -30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Basta</a:t>
          </a:r>
          <a:r>
            <a:rPr lang="es-CL" sz="1100" baseline="0">
              <a:solidFill>
                <a:srgbClr val="0000FF"/>
              </a:solidFill>
            </a:rPr>
            <a:t> con solo completar las columnas que serán utilizadas y no con todas las columnas propuestas en la Resolución de los RTRE.</a:t>
          </a:r>
        </a:p>
        <a:p>
          <a:pPr algn="ctr"/>
          <a:endParaRPr lang="es-CL" sz="1100">
            <a:solidFill>
              <a:srgbClr val="0000FF"/>
            </a:solidFill>
          </a:endParaRPr>
        </a:p>
      </xdr:txBody>
    </xdr:sp>
    <xdr:clientData/>
  </xdr:twoCellAnchor>
  <xdr:twoCellAnchor>
    <xdr:from>
      <xdr:col>2</xdr:col>
      <xdr:colOff>733074</xdr:colOff>
      <xdr:row>24</xdr:row>
      <xdr:rowOff>35279</xdr:rowOff>
    </xdr:from>
    <xdr:to>
      <xdr:col>5</xdr:col>
      <xdr:colOff>320322</xdr:colOff>
      <xdr:row>26</xdr:row>
      <xdr:rowOff>169333</xdr:rowOff>
    </xdr:to>
    <xdr:sp macro="" textlink="">
      <xdr:nvSpPr>
        <xdr:cNvPr id="7" name="Speech Bubble: Rectangle 1">
          <a:extLst>
            <a:ext uri="{FF2B5EF4-FFF2-40B4-BE49-F238E27FC236}">
              <a16:creationId xmlns:a16="http://schemas.microsoft.com/office/drawing/2014/main" id="{00000000-0008-0000-0700-000007000000}"/>
            </a:ext>
          </a:extLst>
        </xdr:cNvPr>
        <xdr:cNvSpPr/>
      </xdr:nvSpPr>
      <xdr:spPr>
        <a:xfrm>
          <a:off x="1723674" y="5945012"/>
          <a:ext cx="2669115" cy="506588"/>
        </a:xfrm>
        <a:prstGeom prst="wedgeRectCallout">
          <a:avLst>
            <a:gd name="adj1" fmla="val 1040"/>
            <a:gd name="adj2" fmla="val -20913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Imputación de retiros debe ser en orden cronólogico.</a:t>
          </a:r>
        </a:p>
      </xdr:txBody>
    </xdr:sp>
    <xdr:clientData/>
  </xdr:twoCellAnchor>
  <xdr:twoCellAnchor>
    <xdr:from>
      <xdr:col>5</xdr:col>
      <xdr:colOff>304800</xdr:colOff>
      <xdr:row>7</xdr:row>
      <xdr:rowOff>158750</xdr:rowOff>
    </xdr:from>
    <xdr:to>
      <xdr:col>8</xdr:col>
      <xdr:colOff>95250</xdr:colOff>
      <xdr:row>9</xdr:row>
      <xdr:rowOff>370417</xdr:rowOff>
    </xdr:to>
    <xdr:sp macro="" textlink="">
      <xdr:nvSpPr>
        <xdr:cNvPr id="5" name="Rectangle 4">
          <a:extLst>
            <a:ext uri="{FF2B5EF4-FFF2-40B4-BE49-F238E27FC236}">
              <a16:creationId xmlns:a16="http://schemas.microsoft.com/office/drawing/2014/main" id="{00000000-0008-0000-0700-000005000000}"/>
            </a:ext>
          </a:extLst>
        </xdr:cNvPr>
        <xdr:cNvSpPr/>
      </xdr:nvSpPr>
      <xdr:spPr>
        <a:xfrm>
          <a:off x="4377267" y="2072217"/>
          <a:ext cx="2719916" cy="804333"/>
        </a:xfrm>
        <a:prstGeom prst="rect">
          <a:avLst/>
        </a:prstGeom>
        <a:solidFill>
          <a:schemeClr val="accent4">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L" sz="1100">
              <a:solidFill>
                <a:srgbClr val="0000FF"/>
              </a:solidFill>
              <a:effectLst/>
              <a:latin typeface="+mn-lt"/>
              <a:ea typeface="+mn-ea"/>
              <a:cs typeface="+mn-cs"/>
            </a:rPr>
            <a:t>La imputación del IDPC</a:t>
          </a:r>
          <a:r>
            <a:rPr lang="es-CL" sz="1100" baseline="0">
              <a:solidFill>
                <a:srgbClr val="0000FF"/>
              </a:solidFill>
              <a:effectLst/>
              <a:latin typeface="+mn-lt"/>
              <a:ea typeface="+mn-ea"/>
              <a:cs typeface="+mn-cs"/>
            </a:rPr>
            <a:t> pagado </a:t>
          </a:r>
          <a:r>
            <a:rPr lang="es-CL" sz="1100">
              <a:solidFill>
                <a:srgbClr val="0000FF"/>
              </a:solidFill>
              <a:effectLst/>
              <a:latin typeface="+mn-lt"/>
              <a:ea typeface="+mn-ea"/>
              <a:cs typeface="+mn-cs"/>
            </a:rPr>
            <a:t>se efectuará en la</a:t>
          </a:r>
          <a:r>
            <a:rPr lang="es-CL" sz="1100" baseline="0">
              <a:solidFill>
                <a:srgbClr val="0000FF"/>
              </a:solidFill>
              <a:effectLst/>
              <a:latin typeface="+mn-lt"/>
              <a:ea typeface="+mn-ea"/>
              <a:cs typeface="+mn-cs"/>
            </a:rPr>
            <a:t> columna de RAP, contenida en el registro REX, solo por el AT 2021, y se rebaja a su valor histórico.</a:t>
          </a:r>
          <a:endParaRPr lang="es-CL">
            <a:solidFill>
              <a:srgbClr val="0000FF"/>
            </a:solidFill>
            <a:effectLst/>
          </a:endParaRPr>
        </a:p>
        <a:p>
          <a:pPr algn="l"/>
          <a:endParaRPr lang="es-CL" sz="1100"/>
        </a:p>
      </xdr:txBody>
    </xdr:sp>
    <xdr:clientData/>
  </xdr:twoCellAnchor>
  <xdr:twoCellAnchor>
    <xdr:from>
      <xdr:col>7</xdr:col>
      <xdr:colOff>127000</xdr:colOff>
      <xdr:row>9</xdr:row>
      <xdr:rowOff>383117</xdr:rowOff>
    </xdr:from>
    <xdr:to>
      <xdr:col>7</xdr:col>
      <xdr:colOff>203200</xdr:colOff>
      <xdr:row>11</xdr:row>
      <xdr:rowOff>59267</xdr:rowOff>
    </xdr:to>
    <xdr:cxnSp macro="">
      <xdr:nvCxnSpPr>
        <xdr:cNvPr id="10" name="Straight Arrow Connector 9">
          <a:extLst>
            <a:ext uri="{FF2B5EF4-FFF2-40B4-BE49-F238E27FC236}">
              <a16:creationId xmlns:a16="http://schemas.microsoft.com/office/drawing/2014/main" id="{00000000-0008-0000-0700-00000A000000}"/>
            </a:ext>
          </a:extLst>
        </xdr:cNvPr>
        <xdr:cNvCxnSpPr/>
      </xdr:nvCxnSpPr>
      <xdr:spPr>
        <a:xfrm>
          <a:off x="6206067" y="2889250"/>
          <a:ext cx="76200" cy="268817"/>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529167</xdr:colOff>
      <xdr:row>23</xdr:row>
      <xdr:rowOff>143933</xdr:rowOff>
    </xdr:from>
    <xdr:to>
      <xdr:col>9</xdr:col>
      <xdr:colOff>402166</xdr:colOff>
      <xdr:row>28</xdr:row>
      <xdr:rowOff>169332</xdr:rowOff>
    </xdr:to>
    <xdr:sp macro="" textlink="">
      <xdr:nvSpPr>
        <xdr:cNvPr id="8" name="Speech Bubble: Rectangle 1">
          <a:extLst>
            <a:ext uri="{FF2B5EF4-FFF2-40B4-BE49-F238E27FC236}">
              <a16:creationId xmlns:a16="http://schemas.microsoft.com/office/drawing/2014/main" id="{00000000-0008-0000-0700-000008000000}"/>
            </a:ext>
          </a:extLst>
        </xdr:cNvPr>
        <xdr:cNvSpPr/>
      </xdr:nvSpPr>
      <xdr:spPr>
        <a:xfrm>
          <a:off x="5588000" y="6007100"/>
          <a:ext cx="2487083" cy="977899"/>
        </a:xfrm>
        <a:prstGeom prst="wedgeRectCallout">
          <a:avLst>
            <a:gd name="adj1" fmla="val -27585"/>
            <a:gd name="adj2" fmla="val -159172"/>
          </a:avLst>
        </a:prstGeom>
        <a:solidFill>
          <a:srgbClr val="FFC000">
            <a:lumMod val="20000"/>
            <a:lumOff val="80000"/>
          </a:srgbClr>
        </a:solidFill>
        <a:ln w="6350" cap="flat" cmpd="sng" algn="ctr">
          <a:solidFill>
            <a:srgbClr val="FFC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a:ln>
                <a:noFill/>
              </a:ln>
              <a:solidFill>
                <a:srgbClr val="FF0000"/>
              </a:solidFill>
              <a:effectLst/>
              <a:uLnTx/>
              <a:uFillTx/>
              <a:latin typeface="Calibri" panose="020F0502020204030204"/>
              <a:ea typeface="+mn-ea"/>
              <a:cs typeface="+mn-cs"/>
            </a:rPr>
            <a:t>Estas rentas deben ser imputadas en primer lugar, sin considerar reglas de imputación establecidas en el N°4 la letra A) del art 14 LIR.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rgbClr val="FF0000"/>
            </a:solidFill>
            <a:effectLst/>
            <a:uLnTx/>
            <a:uFillTx/>
            <a:latin typeface="Calibri" panose="020F0502020204030204"/>
            <a:ea typeface="+mn-ea"/>
            <a:cs typeface="+mn-cs"/>
          </a:endParaRPr>
        </a:p>
      </xdr:txBody>
    </xdr:sp>
    <xdr:clientData/>
  </xdr:twoCellAnchor>
  <xdr:twoCellAnchor>
    <xdr:from>
      <xdr:col>13</xdr:col>
      <xdr:colOff>254001</xdr:colOff>
      <xdr:row>11</xdr:row>
      <xdr:rowOff>158750</xdr:rowOff>
    </xdr:from>
    <xdr:to>
      <xdr:col>17</xdr:col>
      <xdr:colOff>457200</xdr:colOff>
      <xdr:row>15</xdr:row>
      <xdr:rowOff>127000</xdr:rowOff>
    </xdr:to>
    <xdr:sp macro="" textlink="">
      <xdr:nvSpPr>
        <xdr:cNvPr id="9" name="Speech Bubble: Rectangle 1">
          <a:extLst>
            <a:ext uri="{FF2B5EF4-FFF2-40B4-BE49-F238E27FC236}">
              <a16:creationId xmlns:a16="http://schemas.microsoft.com/office/drawing/2014/main" id="{00000000-0008-0000-0700-000009000000}"/>
            </a:ext>
          </a:extLst>
        </xdr:cNvPr>
        <xdr:cNvSpPr/>
      </xdr:nvSpPr>
      <xdr:spPr>
        <a:xfrm>
          <a:off x="11377084" y="3323167"/>
          <a:ext cx="2129366" cy="1037166"/>
        </a:xfrm>
        <a:prstGeom prst="wedgeRectCallout">
          <a:avLst>
            <a:gd name="adj1" fmla="val -61357"/>
            <a:gd name="adj2" fmla="val 71344"/>
          </a:avLst>
        </a:prstGeom>
        <a:solidFill>
          <a:srgbClr val="FFC000">
            <a:lumMod val="20000"/>
            <a:lumOff val="80000"/>
          </a:srgbClr>
        </a:solidFill>
        <a:ln w="6350" cap="flat" cmpd="sng" algn="ctr">
          <a:solidFill>
            <a:srgbClr val="FFC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50" b="0" i="0" u="none" strike="noStrike" kern="0" cap="none" spc="0" normalizeH="0" baseline="0">
              <a:ln>
                <a:noFill/>
              </a:ln>
              <a:solidFill>
                <a:srgbClr val="FF0000"/>
              </a:solidFill>
              <a:effectLst/>
              <a:uLnTx/>
              <a:uFillTx/>
              <a:latin typeface="Calibri" panose="020F0502020204030204"/>
              <a:ea typeface="+mn-ea"/>
              <a:cs typeface="+mn-cs"/>
            </a:rPr>
            <a:t>Debido a que se imputaron créditos del registro SAC acumulados hasta el 31.12.2016 corresponde también realizar la rebaja al STUT para efectos del cálculo de tasa TEF.</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3328671</xdr:colOff>
      <xdr:row>7</xdr:row>
      <xdr:rowOff>181610</xdr:rowOff>
    </xdr:from>
    <xdr:to>
      <xdr:col>3</xdr:col>
      <xdr:colOff>356871</xdr:colOff>
      <xdr:row>9</xdr:row>
      <xdr:rowOff>8890</xdr:rowOff>
    </xdr:to>
    <xdr:sp macro="" textlink="">
      <xdr:nvSpPr>
        <xdr:cNvPr id="2" name="Speech Bubble: Rectangle 1">
          <a:extLst>
            <a:ext uri="{FF2B5EF4-FFF2-40B4-BE49-F238E27FC236}">
              <a16:creationId xmlns:a16="http://schemas.microsoft.com/office/drawing/2014/main" id="{00000000-0008-0000-0800-000002000000}"/>
            </a:ext>
          </a:extLst>
        </xdr:cNvPr>
        <xdr:cNvSpPr/>
      </xdr:nvSpPr>
      <xdr:spPr>
        <a:xfrm>
          <a:off x="3458211" y="1598930"/>
          <a:ext cx="1409700" cy="223520"/>
        </a:xfrm>
        <a:prstGeom prst="wedgeRectCallout">
          <a:avLst>
            <a:gd name="adj1" fmla="val 35419"/>
            <a:gd name="adj2" fmla="val 9233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Reverso RAI.</a:t>
          </a:r>
        </a:p>
      </xdr:txBody>
    </xdr:sp>
    <xdr:clientData/>
  </xdr:twoCellAnchor>
  <xdr:twoCellAnchor>
    <xdr:from>
      <xdr:col>4</xdr:col>
      <xdr:colOff>213360</xdr:colOff>
      <xdr:row>6</xdr:row>
      <xdr:rowOff>114300</xdr:rowOff>
    </xdr:from>
    <xdr:to>
      <xdr:col>5</xdr:col>
      <xdr:colOff>636270</xdr:colOff>
      <xdr:row>7</xdr:row>
      <xdr:rowOff>175260</xdr:rowOff>
    </xdr:to>
    <xdr:sp macro="" textlink="">
      <xdr:nvSpPr>
        <xdr:cNvPr id="3" name="Speech Bubble: Rectangle 1">
          <a:extLst>
            <a:ext uri="{FF2B5EF4-FFF2-40B4-BE49-F238E27FC236}">
              <a16:creationId xmlns:a16="http://schemas.microsoft.com/office/drawing/2014/main" id="{00000000-0008-0000-0800-000003000000}"/>
            </a:ext>
          </a:extLst>
        </xdr:cNvPr>
        <xdr:cNvSpPr/>
      </xdr:nvSpPr>
      <xdr:spPr>
        <a:xfrm>
          <a:off x="5669280" y="1333500"/>
          <a:ext cx="803910" cy="259080"/>
        </a:xfrm>
        <a:prstGeom prst="wedgeRectCallout">
          <a:avLst>
            <a:gd name="adj1" fmla="val -6769"/>
            <a:gd name="adj2" fmla="val 17867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Pago</a:t>
          </a:r>
          <a:r>
            <a:rPr lang="es-CL" sz="1100" baseline="0">
              <a:solidFill>
                <a:srgbClr val="0000FF"/>
              </a:solidFill>
            </a:rPr>
            <a:t> IDPC</a:t>
          </a:r>
          <a:endParaRPr lang="es-CL" sz="1100">
            <a:solidFill>
              <a:srgbClr val="0000FF"/>
            </a:solidFill>
          </a:endParaRPr>
        </a:p>
      </xdr:txBody>
    </xdr:sp>
    <xdr:clientData/>
  </xdr:twoCellAnchor>
  <xdr:twoCellAnchor>
    <xdr:from>
      <xdr:col>1</xdr:col>
      <xdr:colOff>2164080</xdr:colOff>
      <xdr:row>10</xdr:row>
      <xdr:rowOff>53340</xdr:rowOff>
    </xdr:from>
    <xdr:to>
      <xdr:col>2</xdr:col>
      <xdr:colOff>0</xdr:colOff>
      <xdr:row>13</xdr:row>
      <xdr:rowOff>47625</xdr:rowOff>
    </xdr:to>
    <xdr:sp macro="" textlink="">
      <xdr:nvSpPr>
        <xdr:cNvPr id="4" name="Speech Bubble: Rectangle 1">
          <a:extLst>
            <a:ext uri="{FF2B5EF4-FFF2-40B4-BE49-F238E27FC236}">
              <a16:creationId xmlns:a16="http://schemas.microsoft.com/office/drawing/2014/main" id="{00000000-0008-0000-0800-000004000000}"/>
            </a:ext>
          </a:extLst>
        </xdr:cNvPr>
        <xdr:cNvSpPr/>
      </xdr:nvSpPr>
      <xdr:spPr>
        <a:xfrm>
          <a:off x="2287905" y="2091690"/>
          <a:ext cx="1560195" cy="594360"/>
        </a:xfrm>
        <a:prstGeom prst="wedgeRectCallout">
          <a:avLst>
            <a:gd name="adj1" fmla="val 87616"/>
            <a:gd name="adj2" fmla="val -3458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900">
              <a:solidFill>
                <a:srgbClr val="0000FF"/>
              </a:solidFill>
            </a:rPr>
            <a:t>Corresponde</a:t>
          </a:r>
          <a:r>
            <a:rPr lang="es-CL" sz="900" baseline="0">
              <a:solidFill>
                <a:srgbClr val="0000FF"/>
              </a:solidFill>
            </a:rPr>
            <a:t> al monto del RAI determinado al 31.12.2020.</a:t>
          </a:r>
          <a:endParaRPr lang="es-CL" sz="900">
            <a:solidFill>
              <a:srgbClr val="0000FF"/>
            </a:solidFill>
          </a:endParaRPr>
        </a:p>
      </xdr:txBody>
    </xdr:sp>
    <xdr:clientData/>
  </xdr:twoCellAnchor>
  <xdr:twoCellAnchor>
    <xdr:from>
      <xdr:col>11</xdr:col>
      <xdr:colOff>320040</xdr:colOff>
      <xdr:row>5</xdr:row>
      <xdr:rowOff>175260</xdr:rowOff>
    </xdr:from>
    <xdr:to>
      <xdr:col>13</xdr:col>
      <xdr:colOff>662940</xdr:colOff>
      <xdr:row>9</xdr:row>
      <xdr:rowOff>106680</xdr:rowOff>
    </xdr:to>
    <xdr:sp macro="" textlink="">
      <xdr:nvSpPr>
        <xdr:cNvPr id="5" name="Speech Bubble: Rectangle 1">
          <a:extLst>
            <a:ext uri="{FF2B5EF4-FFF2-40B4-BE49-F238E27FC236}">
              <a16:creationId xmlns:a16="http://schemas.microsoft.com/office/drawing/2014/main" id="{00000000-0008-0000-0800-000005000000}"/>
            </a:ext>
          </a:extLst>
        </xdr:cNvPr>
        <xdr:cNvSpPr/>
      </xdr:nvSpPr>
      <xdr:spPr>
        <a:xfrm>
          <a:off x="9662160" y="1196340"/>
          <a:ext cx="1524000" cy="723900"/>
        </a:xfrm>
        <a:prstGeom prst="wedgeRectCallout">
          <a:avLst>
            <a:gd name="adj1" fmla="val 27431"/>
            <a:gd name="adj2" fmla="val 9925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900">
              <a:solidFill>
                <a:srgbClr val="FF0000"/>
              </a:solidFill>
            </a:rPr>
            <a:t>Corresponde</a:t>
          </a:r>
          <a:r>
            <a:rPr lang="es-CL" sz="900" baseline="0">
              <a:solidFill>
                <a:srgbClr val="FF0000"/>
              </a:solidFill>
            </a:rPr>
            <a:t> al monto percibido por concepto de  dividendos calificados como INR.</a:t>
          </a:r>
          <a:endParaRPr lang="es-CL" sz="9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erardo.escudero\Mis%20documentos\Escritorio\Great\Hoja%20de%20Trabajo\Cuadratura\Cuadratura%20DDJJ%20DGC%20V2%20Cuenta%20AT%202013.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s>
    <sheetDataSet>
      <sheetData sheetId="0"/>
      <sheetData sheetId="1"/>
      <sheetData sheetId="2"/>
      <sheetData sheetId="3">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9"/>
      <sheetData sheetId="10"/>
      <sheetData sheetId="11"/>
      <sheetData sheetId="12">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13"/>
  <sheetViews>
    <sheetView showGridLines="0" zoomScale="90" zoomScaleNormal="90" workbookViewId="0">
      <selection activeCell="K13" sqref="K13"/>
    </sheetView>
  </sheetViews>
  <sheetFormatPr baseColWidth="10" defaultColWidth="9.140625" defaultRowHeight="15" x14ac:dyDescent="0.25"/>
  <cols>
    <col min="1" max="1" width="1.85546875" style="192" customWidth="1"/>
    <col min="2" max="2" width="4.42578125" style="192" bestFit="1" customWidth="1"/>
    <col min="3" max="3" width="28.7109375" style="192" customWidth="1"/>
    <col min="4" max="4" width="12.5703125" style="192" customWidth="1"/>
    <col min="5" max="5" width="12.42578125" style="192" customWidth="1"/>
    <col min="6" max="6" width="12.28515625" style="192" customWidth="1"/>
    <col min="7" max="7" width="12" style="192" customWidth="1"/>
    <col min="8" max="8" width="19.7109375" style="192" customWidth="1"/>
    <col min="9" max="9" width="12.28515625" style="192" customWidth="1"/>
    <col min="10" max="10" width="13" style="191" customWidth="1"/>
    <col min="11" max="11" width="11.7109375" style="191" customWidth="1"/>
    <col min="12" max="12" width="14.140625" style="191" customWidth="1"/>
    <col min="13" max="13" width="12.7109375" style="191" bestFit="1" customWidth="1"/>
    <col min="14" max="14" width="10.42578125" style="192" hidden="1" customWidth="1"/>
    <col min="15" max="15" width="10.85546875" style="192" hidden="1" customWidth="1"/>
    <col min="16" max="16" width="0" style="192" hidden="1" customWidth="1"/>
    <col min="17" max="16384" width="9.140625" style="192"/>
  </cols>
  <sheetData>
    <row r="2" spans="2:13" x14ac:dyDescent="0.25">
      <c r="B2" s="599" t="s">
        <v>554</v>
      </c>
      <c r="C2" s="600"/>
      <c r="D2" s="600"/>
      <c r="E2" s="600"/>
      <c r="F2" s="600"/>
      <c r="G2" s="600"/>
      <c r="H2" s="600"/>
      <c r="I2" s="600"/>
      <c r="J2" s="600"/>
      <c r="K2" s="600"/>
      <c r="L2" s="601"/>
    </row>
    <row r="4" spans="2:13" x14ac:dyDescent="0.25">
      <c r="B4" s="278" t="s">
        <v>15</v>
      </c>
    </row>
    <row r="5" spans="2:13" ht="15" customHeight="1" x14ac:dyDescent="0.25">
      <c r="B5" s="603" t="s">
        <v>33</v>
      </c>
      <c r="C5" s="610" t="s">
        <v>239</v>
      </c>
      <c r="D5" s="610"/>
      <c r="E5" s="610"/>
      <c r="F5" s="610"/>
      <c r="G5" s="610"/>
      <c r="H5" s="610"/>
      <c r="I5" s="610"/>
      <c r="J5" s="610"/>
      <c r="K5" s="610"/>
      <c r="L5" s="610"/>
      <c r="M5" s="193"/>
    </row>
    <row r="6" spans="2:13" ht="15" customHeight="1" x14ac:dyDescent="0.25">
      <c r="B6" s="603"/>
      <c r="C6" s="610"/>
      <c r="D6" s="610"/>
      <c r="E6" s="610"/>
      <c r="F6" s="610"/>
      <c r="G6" s="610"/>
      <c r="H6" s="610"/>
      <c r="I6" s="610"/>
      <c r="J6" s="610"/>
      <c r="K6" s="610"/>
      <c r="L6" s="610"/>
      <c r="M6" s="193"/>
    </row>
    <row r="7" spans="2:13" x14ac:dyDescent="0.25">
      <c r="B7" s="603"/>
      <c r="C7" s="610"/>
      <c r="D7" s="610"/>
      <c r="E7" s="610"/>
      <c r="F7" s="610"/>
      <c r="G7" s="610"/>
      <c r="H7" s="610"/>
      <c r="I7" s="610"/>
      <c r="J7" s="610"/>
      <c r="K7" s="610"/>
      <c r="L7" s="610"/>
      <c r="M7" s="193"/>
    </row>
    <row r="9" spans="2:13" x14ac:dyDescent="0.25">
      <c r="B9" s="278" t="s">
        <v>34</v>
      </c>
      <c r="C9" s="604" t="s">
        <v>196</v>
      </c>
      <c r="D9" s="604"/>
      <c r="E9" s="604"/>
      <c r="F9" s="604"/>
      <c r="G9" s="604"/>
      <c r="H9" s="604"/>
      <c r="I9" s="604"/>
      <c r="J9" s="604"/>
      <c r="K9" s="604"/>
      <c r="L9" s="604"/>
    </row>
    <row r="10" spans="2:13" x14ac:dyDescent="0.25">
      <c r="C10" s="604"/>
      <c r="D10" s="604"/>
      <c r="E10" s="604"/>
      <c r="F10" s="604"/>
      <c r="G10" s="604"/>
      <c r="H10" s="604"/>
      <c r="I10" s="604"/>
      <c r="J10" s="604"/>
      <c r="K10" s="604"/>
      <c r="L10" s="604"/>
    </row>
    <row r="11" spans="2:13" ht="25.5" x14ac:dyDescent="0.25">
      <c r="C11" s="189"/>
      <c r="D11" s="189"/>
      <c r="E11" s="189"/>
      <c r="F11" s="189"/>
      <c r="G11" s="189"/>
      <c r="H11" s="189"/>
      <c r="I11" s="189"/>
      <c r="J11" s="151" t="s">
        <v>133</v>
      </c>
      <c r="K11" s="24" t="s">
        <v>166</v>
      </c>
      <c r="L11" s="24" t="s">
        <v>209</v>
      </c>
    </row>
    <row r="12" spans="2:13" x14ac:dyDescent="0.25">
      <c r="C12" s="3" t="s">
        <v>167</v>
      </c>
      <c r="D12" s="3"/>
      <c r="E12" s="3"/>
      <c r="F12" s="3"/>
      <c r="G12" s="3"/>
      <c r="H12" s="3"/>
      <c r="J12" s="23">
        <v>0.5</v>
      </c>
      <c r="K12" s="3">
        <v>15000000</v>
      </c>
      <c r="L12" s="3">
        <f>+K12*1.02</f>
        <v>15300000</v>
      </c>
      <c r="M12" s="192"/>
    </row>
    <row r="13" spans="2:13" ht="15" customHeight="1" x14ac:dyDescent="0.25">
      <c r="C13" s="3" t="s">
        <v>168</v>
      </c>
      <c r="D13" s="3"/>
      <c r="E13" s="3"/>
      <c r="F13" s="3"/>
      <c r="G13" s="3"/>
      <c r="H13" s="3"/>
      <c r="J13" s="23">
        <v>0.5</v>
      </c>
      <c r="K13" s="3">
        <f>+K12</f>
        <v>15000000</v>
      </c>
      <c r="L13" s="3">
        <f>+K13*1.02</f>
        <v>15300000</v>
      </c>
      <c r="M13" s="192"/>
    </row>
    <row r="14" spans="2:13" ht="15.75" thickBot="1" x14ac:dyDescent="0.3">
      <c r="C14" s="3"/>
      <c r="D14" s="3" t="s">
        <v>169</v>
      </c>
      <c r="E14" s="3"/>
      <c r="F14" s="3"/>
      <c r="G14" s="3"/>
      <c r="H14" s="3"/>
      <c r="I14" s="3"/>
      <c r="K14" s="129">
        <f>SUM(K12:K13)</f>
        <v>30000000</v>
      </c>
      <c r="L14" s="129">
        <f>SUM(L12:L13)</f>
        <v>30600000</v>
      </c>
      <c r="M14" s="192"/>
    </row>
    <row r="15" spans="2:13" ht="15.75" thickTop="1" x14ac:dyDescent="0.25">
      <c r="B15" s="194"/>
      <c r="C15" s="602"/>
      <c r="D15" s="602"/>
      <c r="E15" s="602"/>
      <c r="F15" s="602"/>
      <c r="G15" s="602"/>
      <c r="H15" s="602"/>
      <c r="I15" s="602"/>
      <c r="J15" s="602"/>
      <c r="K15" s="602"/>
      <c r="L15" s="602"/>
    </row>
    <row r="16" spans="2:13" x14ac:dyDescent="0.25">
      <c r="B16" s="278" t="s">
        <v>35</v>
      </c>
      <c r="C16" s="284" t="s">
        <v>549</v>
      </c>
    </row>
    <row r="18" spans="2:15" s="196" customFormat="1" ht="25.5" x14ac:dyDescent="0.2">
      <c r="C18" s="279" t="s">
        <v>19</v>
      </c>
      <c r="D18" s="197"/>
      <c r="E18" s="197"/>
      <c r="F18" s="197"/>
      <c r="G18" s="197"/>
      <c r="H18" s="197"/>
      <c r="I18" s="197"/>
      <c r="J18" s="160" t="s">
        <v>170</v>
      </c>
      <c r="K18" s="160" t="s">
        <v>206</v>
      </c>
      <c r="L18" s="160" t="s">
        <v>205</v>
      </c>
      <c r="M18" s="198"/>
    </row>
    <row r="19" spans="2:15" s="196" customFormat="1" ht="12.75" x14ac:dyDescent="0.2">
      <c r="C19" s="199" t="s">
        <v>134</v>
      </c>
      <c r="D19" s="200"/>
      <c r="E19" s="200"/>
      <c r="F19" s="200"/>
      <c r="G19" s="200"/>
      <c r="H19" s="200"/>
      <c r="I19" s="200"/>
      <c r="J19" s="201"/>
      <c r="K19" s="201"/>
      <c r="L19" s="201"/>
      <c r="M19" s="198"/>
    </row>
    <row r="20" spans="2:15" s="196" customFormat="1" ht="12.75" x14ac:dyDescent="0.2">
      <c r="C20" s="199" t="s">
        <v>153</v>
      </c>
      <c r="D20" s="200"/>
      <c r="E20" s="202"/>
      <c r="F20" s="203"/>
      <c r="G20" s="203"/>
      <c r="H20" s="203"/>
      <c r="I20" s="203"/>
      <c r="J20" s="204">
        <v>70000000</v>
      </c>
      <c r="K20" s="205"/>
      <c r="L20" s="205">
        <f>+J20-K20</f>
        <v>70000000</v>
      </c>
      <c r="M20" s="198"/>
      <c r="N20" s="206">
        <f>L20</f>
        <v>70000000</v>
      </c>
    </row>
    <row r="21" spans="2:15" s="196" customFormat="1" ht="13.5" thickBot="1" x14ac:dyDescent="0.25">
      <c r="C21" s="170" t="s">
        <v>227</v>
      </c>
      <c r="D21" s="195"/>
      <c r="E21" s="207"/>
      <c r="F21" s="208"/>
      <c r="G21" s="208"/>
      <c r="H21" s="208"/>
      <c r="I21" s="208"/>
      <c r="J21" s="209">
        <v>8000000</v>
      </c>
      <c r="K21" s="210">
        <v>8000000</v>
      </c>
      <c r="L21" s="210">
        <f t="shared" ref="L21:L23" si="0">+J21-K21</f>
        <v>0</v>
      </c>
      <c r="M21" s="198"/>
      <c r="N21" s="211"/>
    </row>
    <row r="22" spans="2:15" s="196" customFormat="1" ht="13.5" thickBot="1" x14ac:dyDescent="0.25">
      <c r="B22" s="212"/>
      <c r="C22" s="174" t="s">
        <v>228</v>
      </c>
      <c r="D22" s="280"/>
      <c r="E22" s="281"/>
      <c r="F22" s="282"/>
      <c r="G22" s="282"/>
      <c r="H22" s="282"/>
      <c r="I22" s="282"/>
      <c r="J22" s="283">
        <v>5000000</v>
      </c>
      <c r="K22" s="478">
        <v>5000000</v>
      </c>
      <c r="L22" s="210">
        <f t="shared" si="0"/>
        <v>0</v>
      </c>
      <c r="M22" s="198"/>
      <c r="N22" s="211">
        <f>K22</f>
        <v>5000000</v>
      </c>
    </row>
    <row r="23" spans="2:15" s="196" customFormat="1" ht="13.5" thickBot="1" x14ac:dyDescent="0.25">
      <c r="C23" s="213" t="s">
        <v>171</v>
      </c>
      <c r="D23" s="214"/>
      <c r="E23" s="215"/>
      <c r="F23" s="216"/>
      <c r="G23" s="216"/>
      <c r="H23" s="216"/>
      <c r="I23" s="216"/>
      <c r="J23" s="217">
        <v>8000000</v>
      </c>
      <c r="K23" s="218"/>
      <c r="L23" s="478">
        <f t="shared" si="0"/>
        <v>8000000</v>
      </c>
      <c r="M23" s="198"/>
      <c r="N23" s="219"/>
    </row>
    <row r="24" spans="2:15" s="196" customFormat="1" ht="13.5" thickBot="1" x14ac:dyDescent="0.25">
      <c r="C24" s="171" t="s">
        <v>17</v>
      </c>
      <c r="D24" s="220"/>
      <c r="E24" s="221"/>
      <c r="F24" s="221"/>
      <c r="G24" s="221"/>
      <c r="H24" s="221"/>
      <c r="I24" s="221"/>
      <c r="J24" s="293">
        <f>SUM(J20:J23)</f>
        <v>91000000</v>
      </c>
      <c r="K24" s="294">
        <f>SUM(K20:K23)</f>
        <v>13000000</v>
      </c>
      <c r="L24" s="294">
        <f>SUM(L20:L23)</f>
        <v>78000000</v>
      </c>
      <c r="M24" s="198"/>
      <c r="O24" s="223">
        <f>SUM(N20:N23)</f>
        <v>75000000</v>
      </c>
    </row>
    <row r="25" spans="2:15" s="196" customFormat="1" ht="13.5" thickTop="1" x14ac:dyDescent="0.2">
      <c r="J25" s="198"/>
      <c r="K25" s="198"/>
      <c r="L25" s="198"/>
      <c r="M25" s="198"/>
    </row>
    <row r="26" spans="2:15" s="196" customFormat="1" ht="12.75" x14ac:dyDescent="0.2">
      <c r="C26" s="167" t="s">
        <v>24</v>
      </c>
      <c r="D26" s="197"/>
      <c r="E26" s="224"/>
      <c r="F26" s="225"/>
      <c r="G26" s="225"/>
      <c r="H26" s="225"/>
      <c r="I26" s="225"/>
      <c r="J26" s="226"/>
      <c r="K26" s="227"/>
      <c r="L26" s="160" t="s">
        <v>144</v>
      </c>
      <c r="M26" s="198"/>
    </row>
    <row r="27" spans="2:15" s="196" customFormat="1" ht="12.75" x14ac:dyDescent="0.2">
      <c r="C27" s="170" t="s">
        <v>159</v>
      </c>
      <c r="D27" s="195"/>
      <c r="E27" s="207"/>
      <c r="F27" s="208"/>
      <c r="G27" s="208"/>
      <c r="H27" s="208"/>
      <c r="I27" s="208"/>
      <c r="J27" s="228"/>
      <c r="K27" s="229"/>
      <c r="L27" s="210">
        <f>200000+92+17+8+4-2+5+1</f>
        <v>200125</v>
      </c>
      <c r="M27" s="198"/>
      <c r="N27" s="206">
        <f>L27</f>
        <v>200125</v>
      </c>
    </row>
    <row r="28" spans="2:15" s="196" customFormat="1" ht="12.75" x14ac:dyDescent="0.2">
      <c r="C28" s="170" t="s">
        <v>208</v>
      </c>
      <c r="D28" s="195"/>
      <c r="E28" s="207"/>
      <c r="F28" s="208"/>
      <c r="G28" s="208"/>
      <c r="H28" s="208"/>
      <c r="I28" s="208"/>
      <c r="J28" s="228"/>
      <c r="K28" s="229"/>
      <c r="L28" s="210">
        <v>8000000</v>
      </c>
      <c r="M28" s="198"/>
      <c r="N28" s="219"/>
    </row>
    <row r="29" spans="2:15" s="196" customFormat="1" ht="13.5" thickBot="1" x14ac:dyDescent="0.25">
      <c r="C29" s="171" t="s">
        <v>18</v>
      </c>
      <c r="D29" s="220"/>
      <c r="E29" s="221"/>
      <c r="F29" s="221"/>
      <c r="G29" s="221"/>
      <c r="H29" s="221"/>
      <c r="I29" s="221"/>
      <c r="J29" s="230"/>
      <c r="K29" s="231"/>
      <c r="L29" s="294">
        <f>SUM(L27:L28)</f>
        <v>8200125</v>
      </c>
      <c r="M29" s="198"/>
      <c r="O29" s="232">
        <f>SUM(N27:N28)</f>
        <v>200125</v>
      </c>
    </row>
    <row r="30" spans="2:15" s="196" customFormat="1" ht="13.5" thickTop="1" x14ac:dyDescent="0.2">
      <c r="C30" s="233"/>
      <c r="D30" s="233"/>
      <c r="E30" s="208"/>
      <c r="F30" s="208"/>
      <c r="G30" s="208"/>
      <c r="H30" s="208"/>
      <c r="I30" s="208"/>
      <c r="J30" s="234"/>
      <c r="K30" s="234"/>
      <c r="L30" s="234"/>
      <c r="M30" s="198"/>
    </row>
    <row r="31" spans="2:15" s="196" customFormat="1" ht="12.75" x14ac:dyDescent="0.2">
      <c r="C31" s="167" t="s">
        <v>20</v>
      </c>
      <c r="D31" s="197"/>
      <c r="E31" s="224"/>
      <c r="F31" s="225"/>
      <c r="G31" s="235"/>
      <c r="H31" s="224" t="s">
        <v>23</v>
      </c>
      <c r="I31" s="236" t="s">
        <v>9</v>
      </c>
      <c r="J31" s="605" t="s">
        <v>172</v>
      </c>
      <c r="K31" s="606"/>
      <c r="L31" s="160" t="s">
        <v>145</v>
      </c>
      <c r="M31" s="198"/>
    </row>
    <row r="32" spans="2:15" s="196" customFormat="1" ht="12.75" x14ac:dyDescent="0.2">
      <c r="C32" s="170" t="s">
        <v>173</v>
      </c>
      <c r="D32" s="195" t="s">
        <v>174</v>
      </c>
      <c r="E32" s="207"/>
      <c r="F32" s="208"/>
      <c r="G32" s="208"/>
      <c r="H32" s="298" t="s">
        <v>229</v>
      </c>
      <c r="I32" s="512">
        <v>0.369863</v>
      </c>
      <c r="J32" s="613">
        <f>ROUND(+L32*I32,0)</f>
        <v>92466</v>
      </c>
      <c r="K32" s="614"/>
      <c r="L32" s="209">
        <v>250000</v>
      </c>
      <c r="M32" s="198"/>
    </row>
    <row r="33" spans="3:13" s="196" customFormat="1" ht="12.75" x14ac:dyDescent="0.2">
      <c r="C33" s="170" t="s">
        <v>175</v>
      </c>
      <c r="D33" s="195" t="s">
        <v>176</v>
      </c>
      <c r="E33" s="207"/>
      <c r="F33" s="208"/>
      <c r="G33" s="208"/>
      <c r="H33" s="298" t="s">
        <v>230</v>
      </c>
      <c r="I33" s="529">
        <v>0.111111</v>
      </c>
      <c r="J33" s="615">
        <f>ROUND(+L33*I33,0)</f>
        <v>22222</v>
      </c>
      <c r="K33" s="616"/>
      <c r="L33" s="209">
        <v>200000</v>
      </c>
      <c r="M33" s="198"/>
    </row>
    <row r="34" spans="3:13" s="196" customFormat="1" ht="12.75" x14ac:dyDescent="0.2">
      <c r="C34" s="170" t="s">
        <v>177</v>
      </c>
      <c r="D34" s="195" t="s">
        <v>178</v>
      </c>
      <c r="E34" s="207"/>
      <c r="F34" s="208"/>
      <c r="G34" s="208"/>
      <c r="H34" s="298" t="s">
        <v>231</v>
      </c>
      <c r="I34" s="512">
        <v>0.22874700000000001</v>
      </c>
      <c r="J34" s="615">
        <f>ROUND(+L34*I34,0)</f>
        <v>34312</v>
      </c>
      <c r="K34" s="616"/>
      <c r="L34" s="209">
        <v>150000</v>
      </c>
      <c r="M34" s="198"/>
    </row>
    <row r="35" spans="3:13" s="196" customFormat="1" ht="12.75" x14ac:dyDescent="0.2">
      <c r="C35" s="170" t="s">
        <v>551</v>
      </c>
      <c r="D35" s="233" t="s">
        <v>179</v>
      </c>
      <c r="E35" s="207"/>
      <c r="F35" s="208"/>
      <c r="G35" s="208"/>
      <c r="H35" s="208"/>
      <c r="I35" s="208"/>
      <c r="J35" s="237"/>
      <c r="K35" s="238"/>
      <c r="L35" s="209">
        <v>30000</v>
      </c>
      <c r="M35" s="198"/>
    </row>
    <row r="36" spans="3:13" s="196" customFormat="1" ht="12.75" x14ac:dyDescent="0.2">
      <c r="C36" s="170" t="s">
        <v>207</v>
      </c>
      <c r="D36" s="233"/>
      <c r="E36" s="207"/>
      <c r="F36" s="208"/>
      <c r="G36" s="208"/>
      <c r="H36" s="208"/>
      <c r="I36" s="208"/>
      <c r="J36" s="296"/>
      <c r="K36" s="295"/>
      <c r="L36" s="209">
        <v>80000</v>
      </c>
      <c r="M36" s="346"/>
    </row>
    <row r="37" spans="3:13" s="196" customFormat="1" ht="15.75" customHeight="1" thickBot="1" x14ac:dyDescent="0.25">
      <c r="C37" s="171" t="s">
        <v>21</v>
      </c>
      <c r="D37" s="220"/>
      <c r="E37" s="221"/>
      <c r="F37" s="221"/>
      <c r="G37" s="221"/>
      <c r="H37" s="221"/>
      <c r="I37" s="221"/>
      <c r="J37" s="617">
        <f>SUM(J32:J36)</f>
        <v>149000</v>
      </c>
      <c r="K37" s="618"/>
      <c r="L37" s="293">
        <f>SUM(L32:L36)</f>
        <v>710000</v>
      </c>
      <c r="M37" s="198"/>
    </row>
    <row r="38" spans="3:13" s="196" customFormat="1" ht="13.5" thickTop="1" x14ac:dyDescent="0.2">
      <c r="C38" s="195"/>
      <c r="D38" s="195"/>
      <c r="E38" s="208"/>
      <c r="F38" s="208"/>
      <c r="G38" s="208"/>
      <c r="H38" s="208"/>
      <c r="I38" s="208"/>
      <c r="J38" s="228"/>
      <c r="K38" s="239"/>
      <c r="L38" s="239"/>
      <c r="M38" s="198"/>
    </row>
    <row r="39" spans="3:13" s="196" customFormat="1" ht="25.5" x14ac:dyDescent="0.2">
      <c r="C39" s="611" t="s">
        <v>22</v>
      </c>
      <c r="D39" s="612"/>
      <c r="E39" s="225"/>
      <c r="F39" s="225"/>
      <c r="G39" s="225"/>
      <c r="H39" s="225"/>
      <c r="I39" s="225"/>
      <c r="J39" s="160" t="s">
        <v>139</v>
      </c>
      <c r="K39" s="160" t="s">
        <v>150</v>
      </c>
      <c r="L39" s="160" t="s">
        <v>135</v>
      </c>
      <c r="M39" s="198"/>
    </row>
    <row r="40" spans="3:13" s="196" customFormat="1" ht="12.75" x14ac:dyDescent="0.2">
      <c r="C40" s="240" t="s">
        <v>180</v>
      </c>
      <c r="D40" s="241"/>
      <c r="E40" s="241"/>
      <c r="F40" s="241"/>
      <c r="G40" s="241"/>
      <c r="H40" s="241"/>
      <c r="I40" s="241"/>
      <c r="J40" s="209">
        <v>20000000</v>
      </c>
      <c r="K40" s="209">
        <v>4000000</v>
      </c>
      <c r="L40" s="209">
        <f t="shared" ref="L40:L41" si="1">+J40-K40</f>
        <v>16000000</v>
      </c>
      <c r="M40" s="198"/>
    </row>
    <row r="41" spans="3:13" s="196" customFormat="1" ht="12.75" x14ac:dyDescent="0.2">
      <c r="C41" s="242" t="s">
        <v>181</v>
      </c>
      <c r="D41" s="243"/>
      <c r="E41" s="243"/>
      <c r="F41" s="243"/>
      <c r="G41" s="243"/>
      <c r="H41" s="243"/>
      <c r="I41" s="243"/>
      <c r="J41" s="209">
        <v>2000000</v>
      </c>
      <c r="K41" s="209">
        <v>0</v>
      </c>
      <c r="L41" s="209">
        <f t="shared" si="1"/>
        <v>2000000</v>
      </c>
      <c r="M41" s="198"/>
    </row>
    <row r="42" spans="3:13" s="196" customFormat="1" ht="12.75" x14ac:dyDescent="0.2">
      <c r="C42" s="242" t="s">
        <v>214</v>
      </c>
      <c r="D42" s="244"/>
      <c r="E42" s="245">
        <v>8350000</v>
      </c>
      <c r="F42" s="244"/>
      <c r="G42" s="244"/>
      <c r="H42" s="244"/>
      <c r="I42" s="244"/>
      <c r="J42" s="209"/>
      <c r="K42" s="209">
        <v>350000</v>
      </c>
      <c r="L42" s="209">
        <f>+E42-K42</f>
        <v>8000000</v>
      </c>
      <c r="M42" s="198"/>
    </row>
    <row r="43" spans="3:13" s="196" customFormat="1" ht="12.75" x14ac:dyDescent="0.2">
      <c r="C43" s="246" t="s">
        <v>25</v>
      </c>
      <c r="D43" s="247" t="s">
        <v>151</v>
      </c>
      <c r="E43" s="248">
        <v>1120448</v>
      </c>
      <c r="F43" s="247"/>
      <c r="G43" s="247"/>
      <c r="J43" s="209"/>
      <c r="K43" s="209">
        <f>ROUND(E43*10.75%,0)</f>
        <v>120448</v>
      </c>
      <c r="L43" s="209">
        <f>+E43-K43</f>
        <v>1000000</v>
      </c>
      <c r="M43" s="198"/>
    </row>
    <row r="44" spans="3:13" s="196" customFormat="1" ht="12.75" x14ac:dyDescent="0.2">
      <c r="C44" s="246" t="s">
        <v>26</v>
      </c>
      <c r="D44" s="247"/>
      <c r="E44" s="247"/>
      <c r="F44" s="247"/>
      <c r="G44" s="247"/>
      <c r="H44" s="247"/>
      <c r="I44" s="247"/>
      <c r="J44" s="209"/>
      <c r="K44" s="209"/>
      <c r="L44" s="209">
        <v>201000</v>
      </c>
      <c r="M44" s="198"/>
    </row>
    <row r="45" spans="3:13" s="196" customFormat="1" ht="12.75" x14ac:dyDescent="0.2">
      <c r="C45" s="246" t="s">
        <v>131</v>
      </c>
      <c r="D45" s="247"/>
      <c r="E45" s="247"/>
      <c r="F45" s="247"/>
      <c r="G45" s="247"/>
      <c r="H45" s="247"/>
      <c r="I45" s="247"/>
      <c r="J45" s="209"/>
      <c r="K45" s="209"/>
      <c r="L45" s="209">
        <v>860000</v>
      </c>
      <c r="M45" s="198"/>
    </row>
    <row r="46" spans="3:13" s="196" customFormat="1" ht="12.75" x14ac:dyDescent="0.2">
      <c r="C46" s="246" t="s">
        <v>182</v>
      </c>
      <c r="D46" s="247"/>
      <c r="E46" s="247"/>
      <c r="F46" s="247"/>
      <c r="G46" s="247"/>
      <c r="H46" s="247"/>
      <c r="I46" s="247"/>
      <c r="J46" s="209"/>
      <c r="K46" s="209"/>
      <c r="L46" s="209">
        <v>320000</v>
      </c>
      <c r="M46" s="198"/>
    </row>
    <row r="47" spans="3:13" s="196" customFormat="1" ht="13.5" thickBot="1" x14ac:dyDescent="0.25">
      <c r="C47" s="246" t="s">
        <v>183</v>
      </c>
      <c r="D47" s="247"/>
      <c r="E47" s="247"/>
      <c r="F47" s="247"/>
      <c r="G47" s="247"/>
      <c r="H47" s="247"/>
      <c r="I47" s="247"/>
      <c r="J47" s="209"/>
      <c r="K47" s="209"/>
      <c r="L47" s="209">
        <v>185000</v>
      </c>
      <c r="M47" s="198"/>
    </row>
    <row r="48" spans="3:13" s="196" customFormat="1" ht="13.5" thickBot="1" x14ac:dyDescent="0.25">
      <c r="C48" s="246" t="s">
        <v>184</v>
      </c>
      <c r="D48" s="247"/>
      <c r="E48" s="247"/>
      <c r="F48" s="247"/>
      <c r="G48" s="247"/>
      <c r="H48" s="247"/>
      <c r="I48" s="247"/>
      <c r="J48" s="209"/>
      <c r="K48" s="209"/>
      <c r="L48" s="478">
        <f>-'Determinacion RLI Año 2019'!H40</f>
        <v>2000000</v>
      </c>
      <c r="M48" s="198"/>
    </row>
    <row r="49" spans="2:13" s="196" customFormat="1" ht="13.5" thickBot="1" x14ac:dyDescent="0.25">
      <c r="C49" s="242" t="s">
        <v>32</v>
      </c>
      <c r="D49" s="244"/>
      <c r="E49" s="249" t="s">
        <v>152</v>
      </c>
      <c r="F49" s="480">
        <v>220000</v>
      </c>
      <c r="G49" s="161" t="s">
        <v>210</v>
      </c>
      <c r="I49" s="479">
        <v>280000</v>
      </c>
      <c r="J49" s="209"/>
      <c r="K49" s="237"/>
      <c r="L49" s="478">
        <f>+F49+I49</f>
        <v>500000</v>
      </c>
      <c r="M49" s="198"/>
    </row>
    <row r="50" spans="2:13" s="196" customFormat="1" ht="12.75" x14ac:dyDescent="0.2">
      <c r="C50" s="246" t="s">
        <v>185</v>
      </c>
      <c r="D50" s="247"/>
      <c r="E50" s="247"/>
      <c r="F50" s="247"/>
      <c r="G50" s="247"/>
      <c r="H50" s="247"/>
      <c r="I50" s="247"/>
      <c r="J50" s="209"/>
      <c r="K50" s="209"/>
      <c r="L50" s="209">
        <v>140000</v>
      </c>
      <c r="M50" s="198"/>
    </row>
    <row r="51" spans="2:13" s="196" customFormat="1" ht="12.75" x14ac:dyDescent="0.2">
      <c r="C51" s="246" t="s">
        <v>136</v>
      </c>
      <c r="D51" s="247"/>
      <c r="E51" s="247"/>
      <c r="F51" s="247"/>
      <c r="G51" s="247"/>
      <c r="H51" s="247"/>
      <c r="I51" s="247"/>
      <c r="J51" s="209"/>
      <c r="K51" s="209"/>
      <c r="L51" s="209">
        <f>+'Determinacion RLI Año 2019'!O32</f>
        <v>3500000</v>
      </c>
      <c r="M51" s="198"/>
    </row>
    <row r="52" spans="2:13" s="196" customFormat="1" ht="12.75" x14ac:dyDescent="0.2">
      <c r="C52" s="246" t="s">
        <v>186</v>
      </c>
      <c r="D52" s="247"/>
      <c r="E52" s="247"/>
      <c r="F52" s="247"/>
      <c r="G52" s="247"/>
      <c r="H52" s="247"/>
      <c r="I52" s="247"/>
      <c r="J52" s="209"/>
      <c r="K52" s="209"/>
      <c r="L52" s="209">
        <f>+E107</f>
        <v>207500</v>
      </c>
      <c r="M52" s="198"/>
    </row>
    <row r="53" spans="2:13" s="196" customFormat="1" ht="12.75" x14ac:dyDescent="0.2">
      <c r="C53" s="250" t="s">
        <v>187</v>
      </c>
      <c r="D53" s="251"/>
      <c r="E53" s="251"/>
      <c r="F53" s="251"/>
      <c r="G53" s="251"/>
      <c r="H53" s="251"/>
      <c r="I53" s="251"/>
      <c r="J53" s="209"/>
      <c r="K53" s="209"/>
      <c r="L53" s="209">
        <f>+E101</f>
        <v>14000000</v>
      </c>
      <c r="M53" s="198"/>
    </row>
    <row r="54" spans="2:13" s="196" customFormat="1" ht="13.5" thickBot="1" x14ac:dyDescent="0.25">
      <c r="C54" s="171" t="s">
        <v>16</v>
      </c>
      <c r="D54" s="220"/>
      <c r="E54" s="221"/>
      <c r="F54" s="221"/>
      <c r="G54" s="221"/>
      <c r="H54" s="221"/>
      <c r="I54" s="221"/>
      <c r="J54" s="293">
        <f>SUM(J40:J53)</f>
        <v>22000000</v>
      </c>
      <c r="K54" s="293">
        <f>SUM(K40:K53)</f>
        <v>4470448</v>
      </c>
      <c r="L54" s="293">
        <f>SUM(L40:L53)</f>
        <v>48913500</v>
      </c>
      <c r="M54" s="198"/>
    </row>
    <row r="55" spans="2:13" s="196" customFormat="1" ht="13.5" thickTop="1" x14ac:dyDescent="0.2">
      <c r="C55" s="233"/>
      <c r="D55" s="233"/>
      <c r="E55" s="208"/>
      <c r="F55" s="208"/>
      <c r="G55" s="208"/>
      <c r="H55" s="208"/>
      <c r="I55" s="208"/>
      <c r="J55" s="252"/>
      <c r="K55" s="253"/>
      <c r="L55" s="252"/>
      <c r="M55" s="198"/>
    </row>
    <row r="56" spans="2:13" s="196" customFormat="1" ht="12.75" x14ac:dyDescent="0.2">
      <c r="C56" s="233"/>
      <c r="D56" s="233"/>
      <c r="E56" s="208"/>
      <c r="F56" s="208"/>
      <c r="G56" s="208"/>
      <c r="H56" s="208"/>
      <c r="I56" s="208"/>
      <c r="J56" s="252"/>
      <c r="K56" s="253"/>
      <c r="L56" s="252"/>
      <c r="M56" s="198"/>
    </row>
    <row r="57" spans="2:13" s="196" customFormat="1" ht="12.75" x14ac:dyDescent="0.2">
      <c r="B57" s="291" t="s">
        <v>114</v>
      </c>
      <c r="C57" s="284" t="s">
        <v>188</v>
      </c>
      <c r="J57" s="198"/>
      <c r="K57" s="198"/>
      <c r="L57" s="198"/>
      <c r="M57" s="198"/>
    </row>
    <row r="58" spans="2:13" s="196" customFormat="1" ht="8.25" customHeight="1" x14ac:dyDescent="0.2">
      <c r="C58" s="195"/>
      <c r="J58" s="198"/>
      <c r="K58" s="198"/>
      <c r="L58" s="198"/>
      <c r="M58" s="198"/>
    </row>
    <row r="59" spans="2:13" s="196" customFormat="1" ht="14.25" customHeight="1" x14ac:dyDescent="0.2">
      <c r="H59" s="289" t="s">
        <v>140</v>
      </c>
      <c r="I59" s="289" t="s">
        <v>140</v>
      </c>
      <c r="J59" s="198"/>
      <c r="K59" s="198"/>
      <c r="L59" s="198"/>
      <c r="M59" s="198"/>
    </row>
    <row r="60" spans="2:13" s="196" customFormat="1" ht="12.75" x14ac:dyDescent="0.2">
      <c r="C60" s="167" t="s">
        <v>189</v>
      </c>
      <c r="D60" s="285"/>
      <c r="E60" s="285"/>
      <c r="F60" s="286"/>
      <c r="G60" s="286"/>
      <c r="H60" s="287"/>
      <c r="I60" s="288">
        <f>SUM(H61:H65)</f>
        <v>44600000</v>
      </c>
      <c r="J60" s="198"/>
      <c r="K60" s="198"/>
      <c r="L60" s="198"/>
      <c r="M60" s="198"/>
    </row>
    <row r="61" spans="2:13" s="196" customFormat="1" ht="12.75" x14ac:dyDescent="0.2">
      <c r="C61" s="168" t="s">
        <v>116</v>
      </c>
      <c r="D61" s="255"/>
      <c r="E61" s="255"/>
      <c r="F61" s="256"/>
      <c r="G61" s="257"/>
      <c r="H61" s="258">
        <f>+'Determinacion RLI Año 2019'!H33</f>
        <v>13100000</v>
      </c>
      <c r="I61" s="259"/>
      <c r="J61" s="198"/>
      <c r="K61" s="198"/>
      <c r="L61" s="198"/>
      <c r="M61" s="198"/>
    </row>
    <row r="62" spans="2:13" s="196" customFormat="1" ht="12.75" x14ac:dyDescent="0.2">
      <c r="C62" s="169" t="s">
        <v>51</v>
      </c>
      <c r="D62" s="260"/>
      <c r="E62" s="260"/>
      <c r="F62" s="261"/>
      <c r="G62" s="262"/>
      <c r="H62" s="263">
        <f>+'Determinacion RLI Año 2019'!H34</f>
        <v>8000000</v>
      </c>
      <c r="I62" s="259"/>
      <c r="J62" s="198"/>
      <c r="K62" s="198"/>
      <c r="L62" s="198"/>
      <c r="M62" s="198"/>
    </row>
    <row r="63" spans="2:13" s="196" customFormat="1" ht="13.5" thickBot="1" x14ac:dyDescent="0.25">
      <c r="C63" s="169" t="s">
        <v>53</v>
      </c>
      <c r="D63" s="260"/>
      <c r="E63" s="260"/>
      <c r="F63" s="261"/>
      <c r="G63" s="262"/>
      <c r="H63" s="481">
        <f>+'Determinacion RLI Año 2019'!H35</f>
        <v>12500000</v>
      </c>
      <c r="I63" s="259"/>
      <c r="J63" s="198"/>
      <c r="K63" s="198"/>
      <c r="L63" s="198"/>
      <c r="M63" s="198"/>
    </row>
    <row r="64" spans="2:13" s="196" customFormat="1" ht="13.5" thickBot="1" x14ac:dyDescent="0.25">
      <c r="C64" s="300" t="s">
        <v>211</v>
      </c>
      <c r="D64" s="260"/>
      <c r="E64" s="260"/>
      <c r="F64" s="261"/>
      <c r="G64" s="262"/>
      <c r="H64" s="481">
        <f>+'Determinacion RLI Año 2019'!H36</f>
        <v>6000000</v>
      </c>
      <c r="I64" s="259"/>
      <c r="J64" s="198"/>
      <c r="K64" s="198"/>
      <c r="L64" s="198"/>
      <c r="M64" s="198"/>
    </row>
    <row r="65" spans="2:13" s="196" customFormat="1" ht="12.75" x14ac:dyDescent="0.2">
      <c r="C65" s="169" t="s">
        <v>106</v>
      </c>
      <c r="D65" s="260"/>
      <c r="E65" s="260"/>
      <c r="F65" s="260"/>
      <c r="G65" s="262"/>
      <c r="H65" s="263">
        <f>+'Determinacion RLI Año 2019'!H37</f>
        <v>5000000</v>
      </c>
      <c r="I65" s="259"/>
      <c r="J65" s="198"/>
      <c r="K65" s="198"/>
      <c r="L65" s="198"/>
      <c r="M65" s="198"/>
    </row>
    <row r="66" spans="2:13" s="196" customFormat="1" ht="12.75" x14ac:dyDescent="0.2">
      <c r="C66" s="167" t="s">
        <v>190</v>
      </c>
      <c r="D66" s="13"/>
      <c r="E66" s="13"/>
      <c r="F66" s="254"/>
      <c r="G66" s="13"/>
      <c r="H66" s="264"/>
      <c r="I66" s="290">
        <f>SUM(H67)</f>
        <v>-2000000</v>
      </c>
      <c r="J66" s="198"/>
      <c r="K66" s="198"/>
      <c r="L66" s="198"/>
      <c r="M66" s="198"/>
    </row>
    <row r="67" spans="2:13" s="196" customFormat="1" ht="13.5" thickBot="1" x14ac:dyDescent="0.25">
      <c r="C67" s="170" t="s">
        <v>76</v>
      </c>
      <c r="D67" s="3"/>
      <c r="E67" s="3"/>
      <c r="F67" s="265"/>
      <c r="G67" s="3"/>
      <c r="H67" s="258">
        <f>+'Determinacion RLI Año 2019'!H40</f>
        <v>-2000000</v>
      </c>
      <c r="I67" s="259"/>
      <c r="J67" s="198"/>
      <c r="K67" s="198"/>
      <c r="L67" s="198"/>
      <c r="M67" s="198"/>
    </row>
    <row r="68" spans="2:13" s="196" customFormat="1" ht="13.5" thickBot="1" x14ac:dyDescent="0.25">
      <c r="C68" s="171" t="s">
        <v>79</v>
      </c>
      <c r="D68" s="190"/>
      <c r="E68" s="190"/>
      <c r="F68" s="266"/>
      <c r="G68" s="190"/>
      <c r="H68" s="190"/>
      <c r="I68" s="482">
        <f>SUM(I60:I66)</f>
        <v>42600000</v>
      </c>
      <c r="J68" s="198"/>
      <c r="K68" s="198"/>
      <c r="L68" s="198"/>
      <c r="M68" s="198"/>
    </row>
    <row r="69" spans="2:13" s="196" customFormat="1" ht="13.5" thickTop="1" x14ac:dyDescent="0.2">
      <c r="J69" s="198"/>
      <c r="K69" s="198"/>
      <c r="L69" s="198"/>
      <c r="M69" s="198"/>
    </row>
    <row r="70" spans="2:13" s="196" customFormat="1" ht="12.75" x14ac:dyDescent="0.2">
      <c r="B70" s="291" t="s">
        <v>115</v>
      </c>
      <c r="C70" s="2" t="s">
        <v>141</v>
      </c>
      <c r="J70" s="198"/>
      <c r="K70" s="198"/>
      <c r="L70" s="198"/>
      <c r="M70" s="198"/>
    </row>
    <row r="71" spans="2:13" s="196" customFormat="1" ht="13.5" thickBot="1" x14ac:dyDescent="0.25">
      <c r="J71" s="198"/>
      <c r="K71" s="198"/>
      <c r="L71" s="198"/>
      <c r="M71" s="198"/>
    </row>
    <row r="72" spans="2:13" s="196" customFormat="1" ht="15" customHeight="1" x14ac:dyDescent="0.2">
      <c r="C72" s="619" t="s">
        <v>84</v>
      </c>
      <c r="D72" s="620"/>
      <c r="E72" s="625" t="s">
        <v>191</v>
      </c>
      <c r="J72" s="198"/>
      <c r="K72" s="198"/>
      <c r="L72" s="198"/>
      <c r="M72" s="198"/>
    </row>
    <row r="73" spans="2:13" s="196" customFormat="1" ht="15.75" customHeight="1" x14ac:dyDescent="0.2">
      <c r="C73" s="621"/>
      <c r="D73" s="622"/>
      <c r="E73" s="626"/>
      <c r="J73" s="198"/>
      <c r="K73" s="198"/>
      <c r="L73" s="198"/>
      <c r="M73" s="198"/>
    </row>
    <row r="74" spans="2:13" s="196" customFormat="1" ht="15" customHeight="1" x14ac:dyDescent="0.2">
      <c r="C74" s="621"/>
      <c r="D74" s="622"/>
      <c r="E74" s="626"/>
      <c r="J74" s="198"/>
      <c r="K74" s="198"/>
      <c r="L74" s="198"/>
      <c r="M74" s="198"/>
    </row>
    <row r="75" spans="2:13" s="196" customFormat="1" ht="15" customHeight="1" x14ac:dyDescent="0.2">
      <c r="C75" s="621"/>
      <c r="D75" s="622"/>
      <c r="E75" s="626"/>
      <c r="J75" s="198"/>
      <c r="K75" s="198"/>
      <c r="L75" s="198"/>
      <c r="M75" s="198"/>
    </row>
    <row r="76" spans="2:13" s="196" customFormat="1" ht="15" customHeight="1" x14ac:dyDescent="0.2">
      <c r="C76" s="621"/>
      <c r="D76" s="622"/>
      <c r="E76" s="627"/>
      <c r="J76" s="198"/>
      <c r="K76" s="477"/>
      <c r="L76" s="198"/>
      <c r="M76" s="198"/>
    </row>
    <row r="77" spans="2:13" s="196" customFormat="1" ht="15" customHeight="1" x14ac:dyDescent="0.2">
      <c r="C77" s="621"/>
      <c r="D77" s="622"/>
      <c r="E77" s="627"/>
      <c r="J77" s="198"/>
      <c r="K77" s="198"/>
      <c r="L77" s="198"/>
      <c r="M77" s="198"/>
    </row>
    <row r="78" spans="2:13" s="196" customFormat="1" ht="24" customHeight="1" thickBot="1" x14ac:dyDescent="0.25">
      <c r="C78" s="623"/>
      <c r="D78" s="624"/>
      <c r="E78" s="628"/>
      <c r="J78" s="198"/>
      <c r="K78" s="198"/>
      <c r="L78" s="198"/>
      <c r="M78" s="198"/>
    </row>
    <row r="79" spans="2:13" s="196" customFormat="1" ht="13.5" thickBot="1" x14ac:dyDescent="0.25">
      <c r="C79" s="631" t="s">
        <v>250</v>
      </c>
      <c r="D79" s="631"/>
      <c r="E79" s="482">
        <f>+'Determinacion RLI Año 2019'!O31</f>
        <v>14000000</v>
      </c>
      <c r="J79" s="198"/>
      <c r="K79" s="198"/>
      <c r="L79" s="198"/>
      <c r="M79" s="198"/>
    </row>
    <row r="80" spans="2:13" s="196" customFormat="1" ht="13.5" thickBot="1" x14ac:dyDescent="0.25">
      <c r="C80" s="632" t="s">
        <v>251</v>
      </c>
      <c r="D80" s="632"/>
      <c r="E80" s="263">
        <f>+'Determinacion RLI Año 2019'!E61</f>
        <v>-8000000</v>
      </c>
      <c r="J80" s="198"/>
      <c r="K80" s="198"/>
      <c r="L80" s="198"/>
      <c r="M80" s="198"/>
    </row>
    <row r="81" spans="2:13" s="196" customFormat="1" ht="13.5" thickBot="1" x14ac:dyDescent="0.25">
      <c r="C81" s="629" t="s">
        <v>192</v>
      </c>
      <c r="D81" s="630"/>
      <c r="E81" s="482">
        <f>SUM(E79:E80)</f>
        <v>6000000</v>
      </c>
      <c r="J81" s="198"/>
      <c r="K81" s="198"/>
      <c r="L81" s="198"/>
      <c r="M81" s="198"/>
    </row>
    <row r="82" spans="2:13" s="196" customFormat="1" ht="12.75" x14ac:dyDescent="0.2">
      <c r="J82" s="198"/>
      <c r="K82" s="198"/>
      <c r="L82" s="198"/>
      <c r="M82" s="198"/>
    </row>
    <row r="83" spans="2:13" s="196" customFormat="1" ht="12.75" x14ac:dyDescent="0.2">
      <c r="B83" s="291" t="s">
        <v>122</v>
      </c>
      <c r="C83" s="2" t="s">
        <v>193</v>
      </c>
      <c r="J83" s="198"/>
      <c r="K83" s="198"/>
      <c r="L83" s="198"/>
      <c r="M83" s="198"/>
    </row>
    <row r="84" spans="2:13" s="196" customFormat="1" ht="12.75" x14ac:dyDescent="0.2">
      <c r="J84" s="198"/>
      <c r="K84" s="198"/>
      <c r="L84" s="198"/>
      <c r="M84" s="198"/>
    </row>
    <row r="85" spans="2:13" s="196" customFormat="1" ht="12.75" x14ac:dyDescent="0.2">
      <c r="B85" s="291" t="s">
        <v>148</v>
      </c>
      <c r="C85" s="196" t="s">
        <v>249</v>
      </c>
      <c r="J85" s="198"/>
      <c r="K85" s="198"/>
      <c r="L85" s="198"/>
      <c r="M85" s="198"/>
    </row>
    <row r="86" spans="2:13" s="196" customFormat="1" ht="12.75" x14ac:dyDescent="0.2">
      <c r="B86" s="291"/>
      <c r="J86" s="198"/>
      <c r="K86" s="198"/>
      <c r="L86" s="198"/>
      <c r="M86" s="198"/>
    </row>
    <row r="87" spans="2:13" s="196" customFormat="1" ht="12.75" x14ac:dyDescent="0.2">
      <c r="B87" s="291"/>
      <c r="C87" s="196" t="s">
        <v>550</v>
      </c>
      <c r="E87" s="268">
        <v>2.7E-2</v>
      </c>
      <c r="J87" s="198"/>
      <c r="K87" s="198"/>
      <c r="L87" s="198"/>
      <c r="M87" s="198"/>
    </row>
    <row r="88" spans="2:13" s="196" customFormat="1" ht="12.75" x14ac:dyDescent="0.2">
      <c r="B88" s="291"/>
      <c r="C88" s="267" t="s">
        <v>146</v>
      </c>
      <c r="E88" s="268">
        <v>5.0000000000000001E-3</v>
      </c>
      <c r="F88" s="513"/>
      <c r="G88" s="513"/>
      <c r="H88" s="513"/>
      <c r="I88" s="513"/>
      <c r="J88" s="514"/>
      <c r="K88" s="514"/>
      <c r="L88" s="514"/>
      <c r="M88" s="198"/>
    </row>
    <row r="89" spans="2:13" s="196" customFormat="1" ht="12.75" x14ac:dyDescent="0.2">
      <c r="B89" s="291"/>
      <c r="C89" s="267" t="s">
        <v>147</v>
      </c>
      <c r="E89" s="268">
        <v>-1E-3</v>
      </c>
      <c r="F89" s="515"/>
      <c r="G89" s="513"/>
      <c r="H89" s="513"/>
      <c r="I89" s="516"/>
      <c r="J89" s="514"/>
      <c r="K89" s="514"/>
      <c r="L89" s="514"/>
      <c r="M89" s="198"/>
    </row>
    <row r="90" spans="2:13" s="196" customFormat="1" ht="12.75" x14ac:dyDescent="0.2">
      <c r="B90" s="291"/>
      <c r="F90" s="516"/>
      <c r="G90" s="516"/>
      <c r="H90" s="516"/>
      <c r="I90" s="516"/>
      <c r="J90" s="517"/>
      <c r="K90" s="517"/>
      <c r="L90" s="514"/>
      <c r="M90" s="198"/>
    </row>
    <row r="91" spans="2:13" s="196" customFormat="1" ht="12.75" x14ac:dyDescent="0.2">
      <c r="B91" s="291" t="s">
        <v>149</v>
      </c>
      <c r="C91" s="155" t="s">
        <v>556</v>
      </c>
      <c r="E91" s="528">
        <v>29070.33</v>
      </c>
      <c r="G91" s="527"/>
      <c r="J91" s="198"/>
      <c r="K91" s="198"/>
      <c r="L91" s="198"/>
      <c r="M91" s="198"/>
    </row>
    <row r="92" spans="2:13" s="196" customFormat="1" ht="12.75" x14ac:dyDescent="0.2">
      <c r="B92" s="291"/>
      <c r="J92" s="198"/>
      <c r="K92" s="198"/>
      <c r="L92" s="198"/>
      <c r="M92" s="198"/>
    </row>
    <row r="93" spans="2:13" s="196" customFormat="1" ht="12.75" x14ac:dyDescent="0.2">
      <c r="B93" s="291" t="s">
        <v>149</v>
      </c>
      <c r="C93" s="196" t="s">
        <v>154</v>
      </c>
      <c r="E93" s="268">
        <v>0.1</v>
      </c>
      <c r="F93" s="297">
        <v>-1</v>
      </c>
      <c r="G93" s="268"/>
      <c r="J93" s="198"/>
      <c r="K93" s="198"/>
      <c r="L93" s="198"/>
      <c r="M93" s="198"/>
    </row>
    <row r="94" spans="2:13" s="196" customFormat="1" ht="12.75" x14ac:dyDescent="0.2">
      <c r="B94" s="291"/>
      <c r="C94" s="196" t="s">
        <v>155</v>
      </c>
      <c r="E94" s="526">
        <v>0.111111</v>
      </c>
      <c r="F94" s="297">
        <v>-2</v>
      </c>
      <c r="G94" s="345"/>
      <c r="J94" s="198"/>
      <c r="K94" s="198"/>
      <c r="L94" s="198"/>
      <c r="M94" s="198"/>
    </row>
    <row r="95" spans="2:13" s="196" customFormat="1" ht="12.75" x14ac:dyDescent="0.2">
      <c r="B95" s="291"/>
      <c r="C95" s="310"/>
      <c r="D95" s="310"/>
      <c r="E95" s="310"/>
      <c r="F95" s="310"/>
      <c r="G95" s="310"/>
      <c r="H95" s="310"/>
      <c r="I95" s="310"/>
      <c r="J95" s="310"/>
      <c r="K95" s="310"/>
      <c r="L95" s="198"/>
      <c r="M95" s="198"/>
    </row>
    <row r="96" spans="2:13" s="196" customFormat="1" ht="12.75" x14ac:dyDescent="0.2">
      <c r="B96" s="291" t="s">
        <v>156</v>
      </c>
      <c r="C96" s="155" t="s">
        <v>212</v>
      </c>
      <c r="J96" s="198"/>
      <c r="K96" s="198"/>
      <c r="L96" s="198"/>
      <c r="M96" s="198"/>
    </row>
    <row r="97" spans="2:13" s="196" customFormat="1" ht="12.75" x14ac:dyDescent="0.2">
      <c r="B97" s="291"/>
      <c r="J97" s="198"/>
      <c r="K97" s="198"/>
      <c r="L97" s="198"/>
      <c r="M97" s="198"/>
    </row>
    <row r="98" spans="2:13" s="196" customFormat="1" ht="25.5" x14ac:dyDescent="0.2">
      <c r="B98" s="291"/>
      <c r="C98" s="607" t="s">
        <v>27</v>
      </c>
      <c r="D98" s="608"/>
      <c r="E98" s="160" t="s">
        <v>137</v>
      </c>
      <c r="F98" s="160" t="s">
        <v>9</v>
      </c>
      <c r="G98" s="160" t="s">
        <v>138</v>
      </c>
      <c r="J98" s="198"/>
      <c r="K98" s="198"/>
      <c r="L98" s="198"/>
      <c r="M98" s="198"/>
    </row>
    <row r="99" spans="2:13" s="196" customFormat="1" ht="12.75" x14ac:dyDescent="0.2">
      <c r="B99" s="291"/>
      <c r="C99" s="199" t="s">
        <v>194</v>
      </c>
      <c r="D99" s="269">
        <v>44124</v>
      </c>
      <c r="E99" s="209">
        <v>7000000</v>
      </c>
      <c r="F99" s="270">
        <v>1.0049999999999999</v>
      </c>
      <c r="G99" s="209">
        <f t="shared" ref="G99:G100" si="2">ROUND(+E99*F99,0)</f>
        <v>7035000</v>
      </c>
      <c r="H99" s="309"/>
      <c r="J99" s="198"/>
      <c r="K99" s="198"/>
      <c r="L99" s="198"/>
      <c r="M99" s="198"/>
    </row>
    <row r="100" spans="2:13" s="196" customFormat="1" ht="12.75" x14ac:dyDescent="0.2">
      <c r="B100" s="291"/>
      <c r="C100" s="213" t="s">
        <v>195</v>
      </c>
      <c r="D100" s="271">
        <v>44155</v>
      </c>
      <c r="E100" s="209">
        <f>+E99</f>
        <v>7000000</v>
      </c>
      <c r="F100" s="270">
        <v>1</v>
      </c>
      <c r="G100" s="209">
        <f t="shared" si="2"/>
        <v>7000000</v>
      </c>
      <c r="H100" s="309"/>
      <c r="J100" s="198"/>
      <c r="K100" s="198"/>
      <c r="L100" s="198"/>
      <c r="M100" s="198"/>
    </row>
    <row r="101" spans="2:13" s="196" customFormat="1" ht="13.5" thickBot="1" x14ac:dyDescent="0.25">
      <c r="B101" s="291"/>
      <c r="C101" s="272" t="s">
        <v>29</v>
      </c>
      <c r="D101" s="273"/>
      <c r="E101" s="222">
        <f>SUM(E99:E100)</f>
        <v>14000000</v>
      </c>
      <c r="F101" s="274"/>
      <c r="G101" s="222">
        <f>SUM(G99:G100)</f>
        <v>14035000</v>
      </c>
      <c r="J101" s="198"/>
      <c r="K101" s="198"/>
      <c r="L101" s="198"/>
      <c r="M101" s="198"/>
    </row>
    <row r="102" spans="2:13" s="196" customFormat="1" ht="13.5" thickTop="1" x14ac:dyDescent="0.2">
      <c r="B102" s="291"/>
      <c r="C102" s="233"/>
      <c r="D102" s="275"/>
      <c r="E102" s="252"/>
      <c r="F102" s="253"/>
      <c r="G102" s="252"/>
      <c r="J102" s="198"/>
      <c r="K102" s="198"/>
      <c r="L102" s="198"/>
      <c r="M102" s="198"/>
    </row>
    <row r="103" spans="2:13" s="196" customFormat="1" ht="12.75" x14ac:dyDescent="0.2">
      <c r="B103" s="291" t="s">
        <v>157</v>
      </c>
      <c r="C103" s="196" t="s">
        <v>213</v>
      </c>
      <c r="E103" s="198"/>
      <c r="F103" s="198"/>
      <c r="G103" s="198"/>
      <c r="J103" s="198"/>
      <c r="K103" s="198"/>
      <c r="L103" s="198"/>
      <c r="M103" s="198"/>
    </row>
    <row r="104" spans="2:13" s="196" customFormat="1" ht="25.5" x14ac:dyDescent="0.2">
      <c r="B104" s="291"/>
      <c r="C104" s="607" t="s">
        <v>28</v>
      </c>
      <c r="D104" s="608"/>
      <c r="E104" s="160" t="s">
        <v>137</v>
      </c>
      <c r="F104" s="160" t="s">
        <v>9</v>
      </c>
      <c r="G104" s="160" t="s">
        <v>138</v>
      </c>
      <c r="J104" s="198"/>
      <c r="K104" s="198"/>
      <c r="L104" s="198"/>
      <c r="M104" s="198"/>
    </row>
    <row r="105" spans="2:13" s="196" customFormat="1" ht="12.75" x14ac:dyDescent="0.2">
      <c r="B105" s="291"/>
      <c r="C105" s="276" t="s">
        <v>30</v>
      </c>
      <c r="D105" s="269"/>
      <c r="E105" s="209">
        <f>+J20*0.25%</f>
        <v>175000</v>
      </c>
      <c r="F105" s="270">
        <v>1.0049999999999999</v>
      </c>
      <c r="G105" s="209">
        <f t="shared" ref="G105:G106" si="3">ROUND(+E105*F105,0)</f>
        <v>175875</v>
      </c>
      <c r="H105" s="309"/>
      <c r="I105" s="198"/>
      <c r="J105" s="198"/>
      <c r="K105" s="198"/>
      <c r="L105" s="198"/>
      <c r="M105" s="198"/>
    </row>
    <row r="106" spans="2:13" s="196" customFormat="1" ht="13.5" thickBot="1" x14ac:dyDescent="0.25">
      <c r="C106" s="213" t="s">
        <v>31</v>
      </c>
      <c r="D106" s="271"/>
      <c r="E106" s="209">
        <f>ROUND((J21+J22)*0.25%,0)</f>
        <v>32500</v>
      </c>
      <c r="F106" s="270">
        <v>1</v>
      </c>
      <c r="G106" s="209">
        <f t="shared" si="3"/>
        <v>32500</v>
      </c>
      <c r="H106" s="309"/>
      <c r="I106" s="198"/>
      <c r="J106" s="198"/>
      <c r="K106" s="198"/>
      <c r="L106" s="198"/>
      <c r="M106" s="198"/>
    </row>
    <row r="107" spans="2:13" s="196" customFormat="1" ht="13.5" thickBot="1" x14ac:dyDescent="0.25">
      <c r="C107" s="272" t="s">
        <v>240</v>
      </c>
      <c r="D107" s="277"/>
      <c r="E107" s="222">
        <f>SUM(E105:E106)</f>
        <v>207500</v>
      </c>
      <c r="F107" s="274"/>
      <c r="G107" s="478">
        <f>SUM(G105:G106)</f>
        <v>208375</v>
      </c>
      <c r="I107" s="198"/>
      <c r="J107" s="198"/>
      <c r="K107" s="198"/>
      <c r="L107" s="198"/>
      <c r="M107" s="198"/>
    </row>
    <row r="108" spans="2:13" s="196" customFormat="1" ht="13.5" thickTop="1" x14ac:dyDescent="0.2">
      <c r="J108" s="198"/>
      <c r="K108" s="198"/>
      <c r="L108" s="198"/>
      <c r="M108" s="198"/>
    </row>
    <row r="109" spans="2:13" s="196" customFormat="1" ht="12.75" x14ac:dyDescent="0.2">
      <c r="B109" s="291"/>
      <c r="C109" s="609" t="s">
        <v>242</v>
      </c>
      <c r="D109" s="609"/>
      <c r="E109" s="609"/>
      <c r="F109" s="609"/>
      <c r="G109" s="609"/>
      <c r="H109" s="609"/>
      <c r="I109" s="609"/>
      <c r="J109" s="609"/>
      <c r="K109" s="609"/>
      <c r="L109" s="198"/>
      <c r="M109" s="198"/>
    </row>
    <row r="110" spans="2:13" s="196" customFormat="1" ht="14.25" customHeight="1" x14ac:dyDescent="0.2">
      <c r="B110" s="291"/>
      <c r="C110" s="609"/>
      <c r="D110" s="609"/>
      <c r="E110" s="609"/>
      <c r="F110" s="609"/>
      <c r="G110" s="609"/>
      <c r="H110" s="609"/>
      <c r="I110" s="609"/>
      <c r="J110" s="609"/>
      <c r="K110" s="609"/>
      <c r="L110" s="198"/>
      <c r="M110" s="198"/>
    </row>
    <row r="111" spans="2:13" s="196" customFormat="1" ht="14.25" customHeight="1" x14ac:dyDescent="0.2">
      <c r="B111" s="291"/>
      <c r="C111" s="315" t="s">
        <v>560</v>
      </c>
      <c r="D111" s="310"/>
      <c r="E111" s="310"/>
      <c r="F111" s="310"/>
      <c r="G111" s="310"/>
      <c r="H111" s="310"/>
      <c r="I111" s="310"/>
      <c r="J111" s="310"/>
      <c r="K111" s="310"/>
      <c r="L111" s="198"/>
      <c r="M111" s="198"/>
    </row>
    <row r="112" spans="2:13" s="196" customFormat="1" ht="12.75" x14ac:dyDescent="0.2">
      <c r="C112" s="315"/>
      <c r="J112" s="198"/>
      <c r="K112" s="198"/>
      <c r="L112" s="198"/>
      <c r="M112" s="198"/>
    </row>
    <row r="113" spans="10:13" s="196" customFormat="1" ht="12.75" x14ac:dyDescent="0.2">
      <c r="J113" s="198"/>
      <c r="K113" s="198"/>
      <c r="L113" s="198"/>
      <c r="M113" s="198"/>
    </row>
  </sheetData>
  <mergeCells count="19">
    <mergeCell ref="C98:D98"/>
    <mergeCell ref="C104:D104"/>
    <mergeCell ref="C109:K110"/>
    <mergeCell ref="C5:L7"/>
    <mergeCell ref="C39:D39"/>
    <mergeCell ref="J32:K32"/>
    <mergeCell ref="J33:K33"/>
    <mergeCell ref="J34:K34"/>
    <mergeCell ref="J37:K37"/>
    <mergeCell ref="C72:D78"/>
    <mergeCell ref="E72:E78"/>
    <mergeCell ref="C81:D81"/>
    <mergeCell ref="C79:D79"/>
    <mergeCell ref="C80:D80"/>
    <mergeCell ref="B2:L2"/>
    <mergeCell ref="C15:L15"/>
    <mergeCell ref="B5:B7"/>
    <mergeCell ref="C9:L10"/>
    <mergeCell ref="J31:K31"/>
  </mergeCells>
  <pageMargins left="0.70866141732283472" right="0.70866141732283472" top="0.49" bottom="0.47" header="0.31496062992125984" footer="0.31496062992125984"/>
  <pageSetup paperSize="5"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S20"/>
  <sheetViews>
    <sheetView showGridLines="0" topLeftCell="A7" zoomScale="90" zoomScaleNormal="90" workbookViewId="0">
      <selection activeCell="D22" sqref="D22"/>
    </sheetView>
  </sheetViews>
  <sheetFormatPr baseColWidth="10" defaultColWidth="9.140625" defaultRowHeight="15.75" x14ac:dyDescent="0.25"/>
  <cols>
    <col min="1" max="1" width="3.5703125" style="347" customWidth="1"/>
    <col min="2" max="2" width="59.5703125" style="347" customWidth="1"/>
    <col min="3" max="3" width="9.140625" style="347"/>
    <col min="4" max="4" width="9.85546875" style="347" customWidth="1"/>
    <col min="5" max="5" width="9.140625" style="347"/>
    <col min="6" max="6" width="13.42578125" style="347" customWidth="1"/>
    <col min="7" max="7" width="9.140625" style="347"/>
    <col min="8" max="8" width="12.28515625" style="347" customWidth="1"/>
    <col min="9" max="9" width="9.140625" style="347"/>
    <col min="10" max="10" width="12.85546875" style="347" customWidth="1"/>
    <col min="11" max="11" width="9.140625" style="347"/>
    <col min="12" max="12" width="9.7109375" style="347" customWidth="1"/>
    <col min="13" max="13" width="9.140625" style="347"/>
    <col min="14" max="14" width="10.140625" style="347" customWidth="1"/>
    <col min="15" max="15" width="9.140625" style="347"/>
    <col min="16" max="16" width="10.85546875" style="347" customWidth="1"/>
    <col min="17" max="17" width="9.140625" style="347"/>
    <col min="18" max="18" width="11.28515625" style="347" customWidth="1"/>
    <col min="19" max="19" width="4.5703125" style="347" customWidth="1"/>
    <col min="20" max="16384" width="9.140625" style="347"/>
  </cols>
  <sheetData>
    <row r="1" spans="2:19" ht="16.5" thickBot="1" x14ac:dyDescent="0.3"/>
    <row r="2" spans="2:19" ht="16.5" thickBot="1" x14ac:dyDescent="0.3">
      <c r="B2" s="695" t="s">
        <v>595</v>
      </c>
      <c r="C2" s="701" t="s">
        <v>316</v>
      </c>
      <c r="D2" s="702"/>
      <c r="E2" s="702"/>
      <c r="F2" s="702"/>
      <c r="G2" s="702"/>
      <c r="H2" s="702"/>
      <c r="I2" s="702"/>
      <c r="J2" s="702"/>
      <c r="K2" s="702"/>
      <c r="L2" s="702"/>
      <c r="M2" s="695" t="s">
        <v>317</v>
      </c>
      <c r="N2" s="696"/>
      <c r="O2" s="696"/>
      <c r="P2" s="696"/>
      <c r="Q2" s="696"/>
      <c r="R2" s="696"/>
      <c r="S2" s="373"/>
    </row>
    <row r="3" spans="2:19" ht="16.5" thickBot="1" x14ac:dyDescent="0.3">
      <c r="B3" s="697"/>
      <c r="C3" s="701" t="s">
        <v>253</v>
      </c>
      <c r="D3" s="702"/>
      <c r="E3" s="702"/>
      <c r="F3" s="705"/>
      <c r="G3" s="701" t="s">
        <v>318</v>
      </c>
      <c r="H3" s="702"/>
      <c r="I3" s="702"/>
      <c r="J3" s="702"/>
      <c r="K3" s="695" t="s">
        <v>319</v>
      </c>
      <c r="L3" s="706"/>
      <c r="M3" s="708" t="s">
        <v>320</v>
      </c>
      <c r="N3" s="709"/>
      <c r="O3" s="696" t="s">
        <v>321</v>
      </c>
      <c r="P3" s="696"/>
      <c r="Q3" s="695" t="s">
        <v>319</v>
      </c>
      <c r="R3" s="696"/>
      <c r="S3" s="374"/>
    </row>
    <row r="4" spans="2:19" ht="16.5" thickBot="1" x14ac:dyDescent="0.3">
      <c r="B4" s="697"/>
      <c r="C4" s="701" t="s">
        <v>320</v>
      </c>
      <c r="D4" s="702"/>
      <c r="E4" s="701" t="s">
        <v>321</v>
      </c>
      <c r="F4" s="702"/>
      <c r="G4" s="701" t="s">
        <v>320</v>
      </c>
      <c r="H4" s="702"/>
      <c r="I4" s="701" t="s">
        <v>321</v>
      </c>
      <c r="J4" s="702"/>
      <c r="K4" s="699"/>
      <c r="L4" s="707"/>
      <c r="M4" s="710"/>
      <c r="N4" s="711"/>
      <c r="O4" s="700"/>
      <c r="P4" s="700"/>
      <c r="Q4" s="699"/>
      <c r="R4" s="700"/>
      <c r="S4" s="375"/>
    </row>
    <row r="5" spans="2:19" x14ac:dyDescent="0.25">
      <c r="B5" s="598" t="s">
        <v>589</v>
      </c>
      <c r="C5" s="595">
        <v>1495</v>
      </c>
      <c r="D5" s="389"/>
      <c r="E5" s="352">
        <v>1496</v>
      </c>
      <c r="F5" s="389"/>
      <c r="G5" s="352">
        <v>1497</v>
      </c>
      <c r="H5" s="389"/>
      <c r="I5" s="352">
        <v>1498</v>
      </c>
      <c r="J5" s="389"/>
      <c r="K5" s="352">
        <v>1499</v>
      </c>
      <c r="L5" s="389"/>
      <c r="M5" s="352">
        <v>1501</v>
      </c>
      <c r="N5" s="389"/>
      <c r="O5" s="352">
        <v>1502</v>
      </c>
      <c r="P5" s="389"/>
      <c r="Q5" s="352">
        <v>1503</v>
      </c>
      <c r="R5" s="389"/>
      <c r="S5" s="353" t="s">
        <v>254</v>
      </c>
    </row>
    <row r="6" spans="2:19" x14ac:dyDescent="0.25">
      <c r="B6" s="593" t="s">
        <v>590</v>
      </c>
      <c r="C6" s="596">
        <v>1655</v>
      </c>
      <c r="D6" s="390"/>
      <c r="E6" s="354">
        <v>1656</v>
      </c>
      <c r="F6" s="390"/>
      <c r="G6" s="354">
        <v>1504</v>
      </c>
      <c r="H6" s="390"/>
      <c r="I6" s="354">
        <v>1505</v>
      </c>
      <c r="J6" s="390"/>
      <c r="K6" s="378"/>
      <c r="L6" s="378"/>
      <c r="M6" s="372"/>
      <c r="N6" s="372"/>
      <c r="O6" s="372"/>
      <c r="P6" s="372"/>
      <c r="Q6" s="386"/>
      <c r="R6" s="386"/>
      <c r="S6" s="362" t="s">
        <v>255</v>
      </c>
    </row>
    <row r="7" spans="2:19" x14ac:dyDescent="0.25">
      <c r="B7" s="593" t="s">
        <v>591</v>
      </c>
      <c r="C7" s="597"/>
      <c r="D7" s="387"/>
      <c r="E7" s="372"/>
      <c r="F7" s="378"/>
      <c r="G7" s="372"/>
      <c r="H7" s="387"/>
      <c r="I7" s="372"/>
      <c r="J7" s="372"/>
      <c r="K7" s="372"/>
      <c r="L7" s="372"/>
      <c r="M7" s="354">
        <v>1506</v>
      </c>
      <c r="N7" s="391"/>
      <c r="O7" s="354">
        <v>1507</v>
      </c>
      <c r="P7" s="391"/>
      <c r="Q7" s="372"/>
      <c r="R7" s="372"/>
      <c r="S7" s="355" t="s">
        <v>255</v>
      </c>
    </row>
    <row r="8" spans="2:19" x14ac:dyDescent="0.25">
      <c r="B8" s="593" t="s">
        <v>309</v>
      </c>
      <c r="C8" s="596">
        <v>1590</v>
      </c>
      <c r="D8" s="391"/>
      <c r="E8" s="359">
        <v>1436</v>
      </c>
      <c r="F8" s="391"/>
      <c r="G8" s="354">
        <v>1437</v>
      </c>
      <c r="H8" s="391"/>
      <c r="I8" s="354">
        <v>1438</v>
      </c>
      <c r="J8" s="391"/>
      <c r="K8" s="354">
        <v>1439</v>
      </c>
      <c r="L8" s="391"/>
      <c r="M8" s="354">
        <v>1441</v>
      </c>
      <c r="N8" s="391"/>
      <c r="O8" s="354">
        <v>1442</v>
      </c>
      <c r="P8" s="391"/>
      <c r="Q8" s="354">
        <v>1443</v>
      </c>
      <c r="R8" s="391"/>
      <c r="S8" s="355" t="s">
        <v>254</v>
      </c>
    </row>
    <row r="9" spans="2:19" x14ac:dyDescent="0.25">
      <c r="B9" s="593" t="s">
        <v>310</v>
      </c>
      <c r="C9" s="366">
        <v>1444</v>
      </c>
      <c r="D9" s="391"/>
      <c r="E9" s="359">
        <v>1447</v>
      </c>
      <c r="F9" s="391"/>
      <c r="G9" s="354">
        <v>1448</v>
      </c>
      <c r="H9" s="391"/>
      <c r="I9" s="354">
        <v>1449</v>
      </c>
      <c r="J9" s="391"/>
      <c r="K9" s="359">
        <v>1508</v>
      </c>
      <c r="L9" s="391"/>
      <c r="M9" s="354">
        <v>1509</v>
      </c>
      <c r="N9" s="391"/>
      <c r="O9" s="354">
        <v>1510</v>
      </c>
      <c r="P9" s="391"/>
      <c r="Q9" s="354">
        <v>1511</v>
      </c>
      <c r="R9" s="391"/>
      <c r="S9" s="355" t="s">
        <v>255</v>
      </c>
    </row>
    <row r="10" spans="2:19" x14ac:dyDescent="0.25">
      <c r="B10" s="593" t="s">
        <v>599</v>
      </c>
      <c r="C10" s="366">
        <v>1512</v>
      </c>
      <c r="D10" s="391"/>
      <c r="E10" s="359">
        <v>1513</v>
      </c>
      <c r="F10" s="391">
        <f>+RTRE!J16</f>
        <v>2300000</v>
      </c>
      <c r="G10" s="372"/>
      <c r="H10" s="372"/>
      <c r="I10" s="372"/>
      <c r="J10" s="372"/>
      <c r="K10" s="359">
        <v>1514</v>
      </c>
      <c r="L10" s="391"/>
      <c r="M10" s="372"/>
      <c r="N10" s="372"/>
      <c r="O10" s="372"/>
      <c r="P10" s="372"/>
      <c r="Q10" s="372"/>
      <c r="R10" s="372"/>
      <c r="S10" s="355" t="s">
        <v>254</v>
      </c>
    </row>
    <row r="11" spans="2:19" x14ac:dyDescent="0.25">
      <c r="B11" s="593" t="s">
        <v>600</v>
      </c>
      <c r="C11" s="366">
        <v>1515</v>
      </c>
      <c r="D11" s="391"/>
      <c r="E11" s="359">
        <v>1516</v>
      </c>
      <c r="F11" s="391">
        <f>+RTRE!J17</f>
        <v>22222</v>
      </c>
      <c r="G11" s="354">
        <v>1517</v>
      </c>
      <c r="H11" s="391"/>
      <c r="I11" s="354">
        <v>1518</v>
      </c>
      <c r="J11" s="391">
        <f>+RTRE!K17</f>
        <v>92466</v>
      </c>
      <c r="K11" s="359">
        <v>1519</v>
      </c>
      <c r="L11" s="391"/>
      <c r="M11" s="354">
        <v>1520</v>
      </c>
      <c r="N11" s="391"/>
      <c r="O11" s="354">
        <v>1521</v>
      </c>
      <c r="P11" s="391">
        <f>+RTRE!L17</f>
        <v>34312</v>
      </c>
      <c r="Q11" s="354">
        <v>1522</v>
      </c>
      <c r="R11" s="391"/>
      <c r="S11" s="355" t="s">
        <v>254</v>
      </c>
    </row>
    <row r="12" spans="2:19" x14ac:dyDescent="0.25">
      <c r="B12" s="593" t="s">
        <v>312</v>
      </c>
      <c r="C12" s="366">
        <v>1523</v>
      </c>
      <c r="D12" s="391"/>
      <c r="E12" s="359">
        <v>1524</v>
      </c>
      <c r="F12" s="391"/>
      <c r="G12" s="354">
        <v>1525</v>
      </c>
      <c r="H12" s="391"/>
      <c r="I12" s="354">
        <v>1526</v>
      </c>
      <c r="J12" s="391"/>
      <c r="K12" s="359">
        <v>1527</v>
      </c>
      <c r="L12" s="391"/>
      <c r="M12" s="354">
        <v>1528</v>
      </c>
      <c r="N12" s="391"/>
      <c r="O12" s="354">
        <v>1529</v>
      </c>
      <c r="P12" s="391"/>
      <c r="Q12" s="354">
        <v>1530</v>
      </c>
      <c r="R12" s="391"/>
      <c r="S12" s="355" t="s">
        <v>254</v>
      </c>
    </row>
    <row r="13" spans="2:19" x14ac:dyDescent="0.25">
      <c r="B13" s="593" t="s">
        <v>313</v>
      </c>
      <c r="C13" s="366">
        <v>1531</v>
      </c>
      <c r="D13" s="391"/>
      <c r="E13" s="359">
        <v>1532</v>
      </c>
      <c r="F13" s="391"/>
      <c r="G13" s="354">
        <v>1533</v>
      </c>
      <c r="H13" s="391"/>
      <c r="I13" s="354">
        <v>1534</v>
      </c>
      <c r="J13" s="391"/>
      <c r="K13" s="359">
        <v>1535</v>
      </c>
      <c r="L13" s="391"/>
      <c r="M13" s="354">
        <v>1536</v>
      </c>
      <c r="N13" s="391"/>
      <c r="O13" s="354">
        <v>1537</v>
      </c>
      <c r="P13" s="391"/>
      <c r="Q13" s="354">
        <v>1538</v>
      </c>
      <c r="R13" s="391"/>
      <c r="S13" s="355" t="s">
        <v>255</v>
      </c>
    </row>
    <row r="14" spans="2:19" ht="31.5" x14ac:dyDescent="0.25">
      <c r="B14" s="593" t="s">
        <v>598</v>
      </c>
      <c r="C14" s="366">
        <v>1539</v>
      </c>
      <c r="D14" s="391"/>
      <c r="E14" s="359">
        <v>1540</v>
      </c>
      <c r="F14" s="400">
        <f>-RTRE!J20-RTRE!J21</f>
        <v>1277777</v>
      </c>
      <c r="G14" s="354">
        <v>1541</v>
      </c>
      <c r="H14" s="391"/>
      <c r="I14" s="354">
        <v>1542</v>
      </c>
      <c r="J14" s="391"/>
      <c r="K14" s="359">
        <v>1543</v>
      </c>
      <c r="L14" s="391"/>
      <c r="M14" s="354">
        <v>1544</v>
      </c>
      <c r="N14" s="391"/>
      <c r="O14" s="354">
        <v>1547</v>
      </c>
      <c r="P14" s="391"/>
      <c r="Q14" s="354">
        <v>1548</v>
      </c>
      <c r="R14" s="391"/>
      <c r="S14" s="355" t="s">
        <v>255</v>
      </c>
    </row>
    <row r="15" spans="2:19" ht="31.5" x14ac:dyDescent="0.25">
      <c r="B15" s="593" t="s">
        <v>596</v>
      </c>
      <c r="C15" s="366">
        <v>1549</v>
      </c>
      <c r="D15" s="391"/>
      <c r="E15" s="359">
        <v>1550</v>
      </c>
      <c r="F15" s="391"/>
      <c r="G15" s="354">
        <v>1551</v>
      </c>
      <c r="H15" s="391"/>
      <c r="I15" s="354">
        <v>1552</v>
      </c>
      <c r="J15" s="391"/>
      <c r="K15" s="359">
        <v>1553</v>
      </c>
      <c r="L15" s="391"/>
      <c r="M15" s="354">
        <v>1554</v>
      </c>
      <c r="N15" s="391"/>
      <c r="O15" s="354">
        <v>1555</v>
      </c>
      <c r="P15" s="391"/>
      <c r="Q15" s="354">
        <v>1556</v>
      </c>
      <c r="R15" s="391"/>
      <c r="S15" s="355" t="s">
        <v>255</v>
      </c>
    </row>
    <row r="16" spans="2:19" ht="31.5" x14ac:dyDescent="0.25">
      <c r="B16" s="593" t="s">
        <v>597</v>
      </c>
      <c r="C16" s="366">
        <v>1557</v>
      </c>
      <c r="D16" s="391"/>
      <c r="E16" s="359">
        <v>1558</v>
      </c>
      <c r="F16" s="523">
        <f>-RTRE!J22</f>
        <v>15556</v>
      </c>
      <c r="G16" s="372"/>
      <c r="H16" s="386"/>
      <c r="I16" s="372"/>
      <c r="J16" s="386"/>
      <c r="K16" s="359">
        <v>1559</v>
      </c>
      <c r="L16" s="391"/>
      <c r="M16" s="354">
        <v>1560</v>
      </c>
      <c r="N16" s="391"/>
      <c r="O16" s="354">
        <v>1561</v>
      </c>
      <c r="P16" s="391"/>
      <c r="Q16" s="354">
        <v>1562</v>
      </c>
      <c r="R16" s="391"/>
      <c r="S16" s="355" t="s">
        <v>255</v>
      </c>
    </row>
    <row r="17" spans="2:19" x14ac:dyDescent="0.25">
      <c r="B17" s="593" t="s">
        <v>314</v>
      </c>
      <c r="C17" s="366">
        <v>1563</v>
      </c>
      <c r="D17" s="391"/>
      <c r="E17" s="359">
        <v>1564</v>
      </c>
      <c r="F17" s="391">
        <f>+F10+F11-F14-F16</f>
        <v>1028889</v>
      </c>
      <c r="G17" s="359">
        <v>1565</v>
      </c>
      <c r="H17" s="391"/>
      <c r="I17" s="359">
        <v>1566</v>
      </c>
      <c r="J17" s="391">
        <f>+J10+J11-J14-J16</f>
        <v>92466</v>
      </c>
      <c r="K17" s="359">
        <v>1567</v>
      </c>
      <c r="L17" s="391"/>
      <c r="M17" s="354">
        <v>1568</v>
      </c>
      <c r="N17" s="391"/>
      <c r="O17" s="354">
        <v>1569</v>
      </c>
      <c r="P17" s="391">
        <f>+P10+P11-P14-P16</f>
        <v>34312</v>
      </c>
      <c r="Q17" s="354">
        <v>1570</v>
      </c>
      <c r="R17" s="391"/>
      <c r="S17" s="355" t="s">
        <v>256</v>
      </c>
    </row>
    <row r="18" spans="2:19" ht="16.5" thickBot="1" x14ac:dyDescent="0.3">
      <c r="B18" s="594" t="s">
        <v>322</v>
      </c>
      <c r="C18" s="533">
        <v>1368</v>
      </c>
      <c r="D18" s="392"/>
      <c r="E18" s="356">
        <v>1371</v>
      </c>
      <c r="F18" s="392"/>
      <c r="G18" s="356">
        <v>1571</v>
      </c>
      <c r="H18" s="392"/>
      <c r="I18" s="356">
        <v>1572</v>
      </c>
      <c r="J18" s="392"/>
      <c r="K18" s="384"/>
      <c r="L18" s="388"/>
      <c r="M18" s="384"/>
      <c r="N18" s="384"/>
      <c r="O18" s="384"/>
      <c r="P18" s="384"/>
      <c r="Q18" s="384"/>
      <c r="R18" s="384"/>
      <c r="S18" s="357" t="s">
        <v>256</v>
      </c>
    </row>
    <row r="20" spans="2:19" x14ac:dyDescent="0.25">
      <c r="B20" s="525"/>
    </row>
  </sheetData>
  <mergeCells count="13">
    <mergeCell ref="B2:B4"/>
    <mergeCell ref="C2:L2"/>
    <mergeCell ref="M2:R2"/>
    <mergeCell ref="C3:F3"/>
    <mergeCell ref="G3:J3"/>
    <mergeCell ref="K3:L4"/>
    <mergeCell ref="M3:N4"/>
    <mergeCell ref="O3:P4"/>
    <mergeCell ref="Q3:R4"/>
    <mergeCell ref="C4:D4"/>
    <mergeCell ref="E4:F4"/>
    <mergeCell ref="G4:H4"/>
    <mergeCell ref="I4:J4"/>
  </mergeCells>
  <pageMargins left="0.42" right="0.63" top="1.08" bottom="0.74803149606299213" header="0.31496062992125984" footer="0.31496062992125984"/>
  <pageSetup paperSize="5"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2:J14"/>
  <sheetViews>
    <sheetView showGridLines="0" workbookViewId="0">
      <selection activeCell="H12" sqref="H12"/>
    </sheetView>
  </sheetViews>
  <sheetFormatPr baseColWidth="10" defaultColWidth="8.7109375" defaultRowHeight="15" x14ac:dyDescent="0.25"/>
  <cols>
    <col min="1" max="1" width="3.5703125" customWidth="1"/>
    <col min="2" max="2" width="24.28515625" bestFit="1" customWidth="1"/>
    <col min="3" max="3" width="10.140625" bestFit="1" customWidth="1"/>
    <col min="4" max="4" width="17.5703125" customWidth="1"/>
    <col min="5" max="5" width="10.28515625" customWidth="1"/>
    <col min="6" max="6" width="13.85546875" customWidth="1"/>
    <col min="7" max="7" width="2.42578125" customWidth="1"/>
    <col min="8" max="8" width="13.28515625" customWidth="1"/>
    <col min="9" max="9" width="12.85546875" customWidth="1"/>
    <col min="10" max="10" width="9.42578125" bestFit="1" customWidth="1"/>
  </cols>
  <sheetData>
    <row r="2" spans="2:10" x14ac:dyDescent="0.25">
      <c r="B2" s="712" t="s">
        <v>454</v>
      </c>
      <c r="C2" s="713"/>
      <c r="D2" s="712" t="s">
        <v>449</v>
      </c>
      <c r="E2" s="714"/>
      <c r="F2" s="713"/>
      <c r="H2" s="712" t="s">
        <v>451</v>
      </c>
      <c r="I2" s="713"/>
    </row>
    <row r="3" spans="2:10" ht="51" x14ac:dyDescent="0.25">
      <c r="B3" s="607" t="s">
        <v>27</v>
      </c>
      <c r="C3" s="608"/>
      <c r="D3" s="160" t="s">
        <v>368</v>
      </c>
      <c r="E3" s="160" t="s">
        <v>2</v>
      </c>
      <c r="F3" s="160" t="s">
        <v>450</v>
      </c>
      <c r="H3" s="160" t="s">
        <v>452</v>
      </c>
      <c r="I3" s="160" t="s">
        <v>450</v>
      </c>
    </row>
    <row r="4" spans="2:10" x14ac:dyDescent="0.25">
      <c r="B4" s="199" t="s">
        <v>194</v>
      </c>
      <c r="C4" s="269">
        <v>44124</v>
      </c>
      <c r="D4" s="209">
        <f>-RTRE!G20</f>
        <v>4500000</v>
      </c>
      <c r="E4" s="209">
        <f>-RTRE!H20</f>
        <v>2500000</v>
      </c>
      <c r="F4" s="209">
        <f>SUM(D4:E4)</f>
        <v>7000000</v>
      </c>
      <c r="H4" s="209">
        <f>-RTRE!J20</f>
        <v>500000</v>
      </c>
      <c r="I4" s="209">
        <f>SUM(H4:H4)</f>
        <v>500000</v>
      </c>
    </row>
    <row r="5" spans="2:10" x14ac:dyDescent="0.25">
      <c r="B5" s="213" t="s">
        <v>195</v>
      </c>
      <c r="C5" s="271">
        <v>44155</v>
      </c>
      <c r="D5" s="209">
        <f>-RTRE!G21</f>
        <v>7000000</v>
      </c>
      <c r="E5" s="209"/>
      <c r="F5" s="209">
        <f>SUM(D5:E5)</f>
        <v>7000000</v>
      </c>
      <c r="H5" s="209">
        <f>-RTRE!J21</f>
        <v>777777</v>
      </c>
      <c r="I5" s="209">
        <f>SUM(H5:H5)</f>
        <v>777777</v>
      </c>
    </row>
    <row r="6" spans="2:10" ht="15.75" thickBot="1" x14ac:dyDescent="0.3">
      <c r="B6" s="272" t="s">
        <v>29</v>
      </c>
      <c r="C6" s="273"/>
      <c r="D6" s="293">
        <f>SUM(D4:D5)</f>
        <v>11500000</v>
      </c>
      <c r="E6" s="293">
        <f>SUM(E4:E5)</f>
        <v>2500000</v>
      </c>
      <c r="F6" s="293">
        <f>SUM(F4:F5)</f>
        <v>14000000</v>
      </c>
      <c r="H6" s="293">
        <f>SUM(H4:H5)</f>
        <v>1277777</v>
      </c>
      <c r="I6" s="293">
        <f>SUM(I4:I5)</f>
        <v>1277777</v>
      </c>
      <c r="J6" s="476"/>
    </row>
    <row r="7" spans="2:10" ht="15.75" thickTop="1" x14ac:dyDescent="0.25"/>
    <row r="9" spans="2:10" x14ac:dyDescent="0.25">
      <c r="B9" s="712" t="s">
        <v>455</v>
      </c>
      <c r="C9" s="713"/>
      <c r="D9" s="712" t="s">
        <v>449</v>
      </c>
      <c r="E9" s="714"/>
      <c r="F9" s="713"/>
      <c r="H9" s="712" t="s">
        <v>451</v>
      </c>
      <c r="I9" s="713"/>
    </row>
    <row r="10" spans="2:10" ht="51" x14ac:dyDescent="0.25">
      <c r="B10" s="607" t="s">
        <v>27</v>
      </c>
      <c r="C10" s="608"/>
      <c r="D10" s="160" t="s">
        <v>368</v>
      </c>
      <c r="E10" s="160" t="s">
        <v>2</v>
      </c>
      <c r="F10" s="160" t="s">
        <v>453</v>
      </c>
      <c r="H10" s="160" t="s">
        <v>452</v>
      </c>
      <c r="I10" s="160" t="s">
        <v>453</v>
      </c>
    </row>
    <row r="11" spans="2:10" x14ac:dyDescent="0.25">
      <c r="B11" s="199" t="s">
        <v>194</v>
      </c>
      <c r="C11" s="405">
        <v>1.0049999999999999</v>
      </c>
      <c r="D11" s="209">
        <f>ROUND(+D4*C11,0)</f>
        <v>4522500</v>
      </c>
      <c r="E11" s="209">
        <f>ROUND(+E4*C11,0)</f>
        <v>2512500</v>
      </c>
      <c r="F11" s="209">
        <f>SUM(D11:E11)</f>
        <v>7035000</v>
      </c>
      <c r="H11" s="209">
        <f>ROUND(+H4*C11,0)</f>
        <v>502500</v>
      </c>
      <c r="I11" s="209">
        <f>SUM(H11:H11)</f>
        <v>502500</v>
      </c>
    </row>
    <row r="12" spans="2:10" x14ac:dyDescent="0.25">
      <c r="B12" s="213" t="s">
        <v>195</v>
      </c>
      <c r="C12" s="406">
        <v>1</v>
      </c>
      <c r="D12" s="209">
        <f>ROUND(+D5*C12,0)</f>
        <v>7000000</v>
      </c>
      <c r="E12" s="209">
        <f>ROUND(+E5*D12,0)</f>
        <v>0</v>
      </c>
      <c r="F12" s="209">
        <f>SUM(D12:E12)</f>
        <v>7000000</v>
      </c>
      <c r="H12" s="209">
        <f>ROUND(+H5*C12,0)</f>
        <v>777777</v>
      </c>
      <c r="I12" s="209">
        <f>SUM(H12:H12)</f>
        <v>777777</v>
      </c>
    </row>
    <row r="13" spans="2:10" ht="15.75" thickBot="1" x14ac:dyDescent="0.3">
      <c r="B13" s="272" t="s">
        <v>29</v>
      </c>
      <c r="C13" s="273"/>
      <c r="D13" s="293">
        <f>SUM(D11:D12)</f>
        <v>11522500</v>
      </c>
      <c r="E13" s="293">
        <f>SUM(E11:E12)</f>
        <v>2512500</v>
      </c>
      <c r="F13" s="293">
        <f>SUM(F11:F12)</f>
        <v>14035000</v>
      </c>
      <c r="H13" s="293">
        <f>SUM(H11:H12)</f>
        <v>1280277</v>
      </c>
      <c r="I13" s="293">
        <f>SUM(I11:I12)</f>
        <v>1280277</v>
      </c>
    </row>
    <row r="14" spans="2:10" ht="15.75" thickTop="1" x14ac:dyDescent="0.25"/>
  </sheetData>
  <mergeCells count="8">
    <mergeCell ref="H2:I2"/>
    <mergeCell ref="D9:F9"/>
    <mergeCell ref="H9:I9"/>
    <mergeCell ref="B10:C10"/>
    <mergeCell ref="B9:C9"/>
    <mergeCell ref="B2:C2"/>
    <mergeCell ref="B3:C3"/>
    <mergeCell ref="D2:F2"/>
  </mergeCells>
  <pageMargins left="0.70866141732283472" right="0.70866141732283472" top="0.74803149606299213" bottom="0.74803149606299213" header="0.31496062992125984" footer="0.31496062992125984"/>
  <pageSetup paperSize="5" scale="13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GM53"/>
  <sheetViews>
    <sheetView showGridLines="0" topLeftCell="M6" zoomScale="50" zoomScaleNormal="50" workbookViewId="0">
      <selection activeCell="AA13" sqref="AA13"/>
    </sheetView>
  </sheetViews>
  <sheetFormatPr baseColWidth="10" defaultColWidth="11.42578125" defaultRowHeight="15" x14ac:dyDescent="0.25"/>
  <cols>
    <col min="1" max="1" width="4.85546875" style="407" customWidth="1"/>
    <col min="2" max="2" width="16.140625" style="407" customWidth="1"/>
    <col min="3" max="4" width="16.5703125" style="407" customWidth="1"/>
    <col min="5" max="5" width="13.42578125" style="407" customWidth="1"/>
    <col min="6" max="6" width="17" style="407" customWidth="1"/>
    <col min="7" max="7" width="18.85546875" style="407" customWidth="1"/>
    <col min="8" max="8" width="15" style="407" customWidth="1"/>
    <col min="9" max="9" width="15.5703125" style="407" customWidth="1"/>
    <col min="10" max="10" width="23.42578125" style="407" customWidth="1"/>
    <col min="11" max="11" width="20.42578125" style="407" customWidth="1"/>
    <col min="12" max="12" width="19.42578125" style="407" customWidth="1"/>
    <col min="13" max="14" width="15.5703125" style="407" customWidth="1"/>
    <col min="15" max="16" width="18.5703125" style="407" customWidth="1"/>
    <col min="17" max="17" width="15.85546875" style="407" customWidth="1"/>
    <col min="18" max="18" width="16.42578125" style="407" customWidth="1"/>
    <col min="19" max="19" width="15.42578125" style="407" customWidth="1"/>
    <col min="20" max="20" width="16.42578125" style="407" customWidth="1"/>
    <col min="21" max="21" width="15.42578125" style="407" customWidth="1"/>
    <col min="22" max="26" width="15" style="407" customWidth="1"/>
    <col min="27" max="27" width="16.5703125" style="407" customWidth="1"/>
    <col min="28" max="31" width="13.5703125" style="407" customWidth="1"/>
    <col min="32" max="32" width="17.42578125" style="407" customWidth="1"/>
    <col min="33" max="33" width="12.5703125" style="407" customWidth="1"/>
    <col min="34" max="34" width="13.42578125" style="407" customWidth="1"/>
    <col min="35" max="35" width="11.5703125" style="407" customWidth="1"/>
    <col min="36" max="36" width="12.42578125" style="407" customWidth="1"/>
    <col min="37" max="37" width="14.42578125" style="407" customWidth="1"/>
    <col min="38" max="47" width="11.42578125" style="407"/>
    <col min="48" max="48" width="13" style="407" customWidth="1"/>
    <col min="49" max="16384" width="11.42578125" style="407"/>
  </cols>
  <sheetData>
    <row r="2" spans="2:34" ht="18.75" customHeight="1" x14ac:dyDescent="0.25">
      <c r="D2" s="783"/>
      <c r="E2" s="783"/>
      <c r="F2" s="783"/>
      <c r="G2" s="783"/>
      <c r="H2" s="783"/>
      <c r="I2" s="783"/>
      <c r="J2" s="783"/>
      <c r="K2" s="783"/>
      <c r="L2" s="783"/>
      <c r="M2" s="783"/>
    </row>
    <row r="3" spans="2:34" ht="23.25" customHeight="1" x14ac:dyDescent="0.25">
      <c r="D3" s="783"/>
      <c r="E3" s="783"/>
      <c r="F3" s="783"/>
      <c r="G3" s="783"/>
      <c r="H3" s="783"/>
      <c r="I3" s="783"/>
      <c r="J3" s="783"/>
      <c r="K3" s="783"/>
      <c r="L3" s="783"/>
      <c r="M3" s="783"/>
    </row>
    <row r="4" spans="2:34" ht="21" x14ac:dyDescent="0.35">
      <c r="D4" s="408"/>
      <c r="E4" s="409"/>
      <c r="F4" s="409"/>
    </row>
    <row r="5" spans="2:34" s="411" customFormat="1" ht="16.5" customHeight="1" x14ac:dyDescent="0.25">
      <c r="B5" s="410" t="s">
        <v>324</v>
      </c>
    </row>
    <row r="6" spans="2:34" ht="15.75" x14ac:dyDescent="0.25">
      <c r="R6" s="412"/>
      <c r="S6" s="412"/>
      <c r="T6" s="412"/>
      <c r="U6" s="412"/>
      <c r="AH6" s="413" t="s">
        <v>325</v>
      </c>
    </row>
    <row r="7" spans="2:34" x14ac:dyDescent="0.25">
      <c r="B7" s="414" t="s">
        <v>326</v>
      </c>
      <c r="AE7" s="415"/>
      <c r="AG7" s="416" t="s">
        <v>327</v>
      </c>
      <c r="AH7" s="417"/>
    </row>
    <row r="9" spans="2:34" ht="15" customHeight="1" x14ac:dyDescent="0.25">
      <c r="B9" s="418" t="s">
        <v>328</v>
      </c>
      <c r="C9" s="419"/>
      <c r="D9" s="784" t="s">
        <v>329</v>
      </c>
      <c r="E9" s="785"/>
      <c r="F9" s="786"/>
    </row>
    <row r="10" spans="2:34" x14ac:dyDescent="0.25">
      <c r="B10" s="719" t="s">
        <v>459</v>
      </c>
      <c r="C10" s="720"/>
      <c r="D10" s="721" t="s">
        <v>458</v>
      </c>
      <c r="E10" s="722"/>
      <c r="F10" s="723"/>
    </row>
    <row r="11" spans="2:34" ht="15" customHeight="1" x14ac:dyDescent="0.25">
      <c r="B11" s="418" t="s">
        <v>330</v>
      </c>
      <c r="C11" s="419"/>
      <c r="D11" s="784" t="s">
        <v>331</v>
      </c>
      <c r="E11" s="785"/>
      <c r="F11" s="786"/>
    </row>
    <row r="12" spans="2:34" x14ac:dyDescent="0.25">
      <c r="B12" s="418"/>
      <c r="C12" s="419"/>
      <c r="D12" s="418"/>
      <c r="E12" s="420"/>
      <c r="F12" s="419"/>
    </row>
    <row r="13" spans="2:34" x14ac:dyDescent="0.25">
      <c r="B13" s="418" t="s">
        <v>332</v>
      </c>
      <c r="C13" s="419"/>
      <c r="D13" s="784" t="s">
        <v>333</v>
      </c>
      <c r="E13" s="785"/>
      <c r="F13" s="786"/>
    </row>
    <row r="14" spans="2:34" x14ac:dyDescent="0.25">
      <c r="B14" s="418"/>
      <c r="C14" s="419"/>
      <c r="D14" s="784"/>
      <c r="E14" s="785"/>
      <c r="F14" s="786"/>
    </row>
    <row r="17" spans="2:195" x14ac:dyDescent="0.25">
      <c r="B17" s="407" t="s">
        <v>334</v>
      </c>
      <c r="C17" s="407" t="s">
        <v>335</v>
      </c>
    </row>
    <row r="18" spans="2:195" ht="21.75" customHeight="1" x14ac:dyDescent="0.25">
      <c r="B18" s="725" t="s">
        <v>336</v>
      </c>
      <c r="C18" s="725" t="s">
        <v>337</v>
      </c>
      <c r="D18" s="725" t="s">
        <v>338</v>
      </c>
      <c r="E18" s="731" t="s">
        <v>339</v>
      </c>
      <c r="F18" s="732" t="s">
        <v>340</v>
      </c>
      <c r="G18" s="732"/>
      <c r="H18" s="732"/>
      <c r="I18" s="732"/>
      <c r="J18" s="732"/>
      <c r="K18" s="732"/>
      <c r="L18" s="732"/>
      <c r="M18" s="732"/>
      <c r="N18" s="732"/>
      <c r="O18" s="732"/>
      <c r="P18" s="732"/>
      <c r="Q18" s="732"/>
      <c r="R18" s="731" t="s">
        <v>341</v>
      </c>
      <c r="S18" s="731"/>
      <c r="T18" s="731"/>
      <c r="U18" s="731"/>
      <c r="V18" s="731"/>
      <c r="W18" s="731"/>
      <c r="X18" s="731"/>
      <c r="Y18" s="731"/>
      <c r="Z18" s="731"/>
      <c r="AA18" s="731"/>
      <c r="AB18" s="731"/>
      <c r="AC18" s="731"/>
      <c r="AD18" s="731"/>
      <c r="AE18" s="731"/>
      <c r="AF18" s="731"/>
      <c r="AG18" s="731" t="s">
        <v>342</v>
      </c>
      <c r="AH18" s="731" t="s">
        <v>343</v>
      </c>
    </row>
    <row r="19" spans="2:195" s="404" customFormat="1" ht="27" customHeight="1" x14ac:dyDescent="0.25">
      <c r="B19" s="725"/>
      <c r="C19" s="725"/>
      <c r="D19" s="725"/>
      <c r="E19" s="731"/>
      <c r="F19" s="725" t="s">
        <v>344</v>
      </c>
      <c r="G19" s="725"/>
      <c r="H19" s="725"/>
      <c r="I19" s="725"/>
      <c r="J19" s="752" t="s">
        <v>345</v>
      </c>
      <c r="K19" s="753"/>
      <c r="L19" s="753"/>
      <c r="M19" s="753"/>
      <c r="N19" s="753"/>
      <c r="O19" s="421"/>
      <c r="P19" s="421"/>
      <c r="Q19" s="421"/>
      <c r="R19" s="776" t="s">
        <v>346</v>
      </c>
      <c r="S19" s="777"/>
      <c r="T19" s="777"/>
      <c r="U19" s="777"/>
      <c r="V19" s="777"/>
      <c r="W19" s="777"/>
      <c r="X19" s="777"/>
      <c r="Y19" s="777"/>
      <c r="Z19" s="778"/>
      <c r="AA19" s="776" t="s">
        <v>347</v>
      </c>
      <c r="AB19" s="777"/>
      <c r="AC19" s="777"/>
      <c r="AD19" s="777"/>
      <c r="AE19" s="778"/>
      <c r="AF19" s="731" t="s">
        <v>348</v>
      </c>
      <c r="AG19" s="731"/>
      <c r="AH19" s="731"/>
    </row>
    <row r="20" spans="2:195" s="422" customFormat="1" ht="55.5" customHeight="1" x14ac:dyDescent="0.25">
      <c r="B20" s="725"/>
      <c r="C20" s="725"/>
      <c r="D20" s="725"/>
      <c r="E20" s="731"/>
      <c r="F20" s="725"/>
      <c r="G20" s="725"/>
      <c r="H20" s="725"/>
      <c r="I20" s="725"/>
      <c r="J20" s="779" t="s">
        <v>349</v>
      </c>
      <c r="K20" s="780"/>
      <c r="L20" s="780"/>
      <c r="M20" s="780"/>
      <c r="N20" s="780"/>
      <c r="O20" s="781" t="s">
        <v>350</v>
      </c>
      <c r="P20" s="782"/>
      <c r="Q20" s="773" t="s">
        <v>351</v>
      </c>
      <c r="R20" s="726" t="s">
        <v>352</v>
      </c>
      <c r="S20" s="759"/>
      <c r="T20" s="759"/>
      <c r="U20" s="759"/>
      <c r="V20" s="759"/>
      <c r="W20" s="727"/>
      <c r="X20" s="726" t="s">
        <v>353</v>
      </c>
      <c r="Y20" s="727"/>
      <c r="Z20" s="748" t="s">
        <v>354</v>
      </c>
      <c r="AA20" s="726" t="s">
        <v>352</v>
      </c>
      <c r="AB20" s="727"/>
      <c r="AC20" s="726" t="s">
        <v>353</v>
      </c>
      <c r="AD20" s="727"/>
      <c r="AE20" s="739" t="s">
        <v>355</v>
      </c>
      <c r="AF20" s="731"/>
      <c r="AG20" s="731"/>
      <c r="AH20" s="731"/>
    </row>
    <row r="21" spans="2:195" s="422" customFormat="1" ht="56.25" customHeight="1" x14ac:dyDescent="0.25">
      <c r="B21" s="725"/>
      <c r="C21" s="725"/>
      <c r="D21" s="725"/>
      <c r="E21" s="731"/>
      <c r="F21" s="725"/>
      <c r="G21" s="725"/>
      <c r="H21" s="725"/>
      <c r="I21" s="725"/>
      <c r="J21" s="761" t="s">
        <v>356</v>
      </c>
      <c r="K21" s="764" t="s">
        <v>357</v>
      </c>
      <c r="L21" s="739" t="s">
        <v>358</v>
      </c>
      <c r="M21" s="767" t="s">
        <v>359</v>
      </c>
      <c r="N21" s="767" t="s">
        <v>360</v>
      </c>
      <c r="O21" s="770" t="s">
        <v>361</v>
      </c>
      <c r="P21" s="767" t="s">
        <v>362</v>
      </c>
      <c r="Q21" s="774"/>
      <c r="R21" s="726" t="s">
        <v>363</v>
      </c>
      <c r="S21" s="727"/>
      <c r="T21" s="726" t="s">
        <v>364</v>
      </c>
      <c r="U21" s="727"/>
      <c r="V21" s="726" t="s">
        <v>118</v>
      </c>
      <c r="W21" s="727"/>
      <c r="X21" s="726" t="s">
        <v>118</v>
      </c>
      <c r="Y21" s="727"/>
      <c r="Z21" s="749"/>
      <c r="AA21" s="724" t="s">
        <v>365</v>
      </c>
      <c r="AB21" s="724" t="s">
        <v>366</v>
      </c>
      <c r="AC21" s="724" t="s">
        <v>365</v>
      </c>
      <c r="AD21" s="724" t="s">
        <v>366</v>
      </c>
      <c r="AE21" s="740"/>
      <c r="AF21" s="731"/>
      <c r="AG21" s="731"/>
      <c r="AH21" s="731"/>
      <c r="GM21" s="422" t="s">
        <v>367</v>
      </c>
    </row>
    <row r="22" spans="2:195" s="422" customFormat="1" ht="44.25" customHeight="1" x14ac:dyDescent="0.25">
      <c r="B22" s="725"/>
      <c r="C22" s="725"/>
      <c r="D22" s="725"/>
      <c r="E22" s="731"/>
      <c r="F22" s="760" t="s">
        <v>368</v>
      </c>
      <c r="G22" s="751" t="s">
        <v>369</v>
      </c>
      <c r="H22" s="751" t="s">
        <v>370</v>
      </c>
      <c r="I22" s="751" t="s">
        <v>371</v>
      </c>
      <c r="J22" s="762"/>
      <c r="K22" s="765"/>
      <c r="L22" s="740"/>
      <c r="M22" s="768"/>
      <c r="N22" s="768"/>
      <c r="O22" s="771"/>
      <c r="P22" s="768"/>
      <c r="Q22" s="774"/>
      <c r="R22" s="724" t="s">
        <v>365</v>
      </c>
      <c r="S22" s="724" t="s">
        <v>366</v>
      </c>
      <c r="T22" s="724" t="s">
        <v>365</v>
      </c>
      <c r="U22" s="724" t="s">
        <v>366</v>
      </c>
      <c r="V22" s="724" t="s">
        <v>365</v>
      </c>
      <c r="W22" s="724" t="s">
        <v>366</v>
      </c>
      <c r="X22" s="724" t="s">
        <v>365</v>
      </c>
      <c r="Y22" s="724" t="s">
        <v>366</v>
      </c>
      <c r="Z22" s="749"/>
      <c r="AA22" s="724"/>
      <c r="AB22" s="724"/>
      <c r="AC22" s="724"/>
      <c r="AD22" s="724"/>
      <c r="AE22" s="740"/>
      <c r="AF22" s="731"/>
      <c r="AG22" s="731"/>
      <c r="AH22" s="731"/>
    </row>
    <row r="23" spans="2:195" s="422" customFormat="1" ht="67.5" customHeight="1" x14ac:dyDescent="0.25">
      <c r="B23" s="725"/>
      <c r="C23" s="725"/>
      <c r="D23" s="725"/>
      <c r="E23" s="731"/>
      <c r="F23" s="760"/>
      <c r="G23" s="751"/>
      <c r="H23" s="751"/>
      <c r="I23" s="751"/>
      <c r="J23" s="763"/>
      <c r="K23" s="766"/>
      <c r="L23" s="741"/>
      <c r="M23" s="769"/>
      <c r="N23" s="769"/>
      <c r="O23" s="772"/>
      <c r="P23" s="769"/>
      <c r="Q23" s="775"/>
      <c r="R23" s="724"/>
      <c r="S23" s="724"/>
      <c r="T23" s="724"/>
      <c r="U23" s="724"/>
      <c r="V23" s="724"/>
      <c r="W23" s="724"/>
      <c r="X23" s="724"/>
      <c r="Y23" s="724"/>
      <c r="Z23" s="750"/>
      <c r="AA23" s="724"/>
      <c r="AB23" s="724"/>
      <c r="AC23" s="724"/>
      <c r="AD23" s="724"/>
      <c r="AE23" s="741"/>
      <c r="AF23" s="731"/>
      <c r="AG23" s="731"/>
      <c r="AH23" s="731"/>
    </row>
    <row r="24" spans="2:195" x14ac:dyDescent="0.25">
      <c r="B24" s="423" t="s">
        <v>372</v>
      </c>
      <c r="C24" s="423" t="s">
        <v>373</v>
      </c>
      <c r="D24" s="423" t="s">
        <v>374</v>
      </c>
      <c r="E24" s="423" t="s">
        <v>375</v>
      </c>
      <c r="F24" s="423" t="s">
        <v>376</v>
      </c>
      <c r="G24" s="423" t="s">
        <v>377</v>
      </c>
      <c r="H24" s="423" t="s">
        <v>378</v>
      </c>
      <c r="I24" s="423" t="s">
        <v>379</v>
      </c>
      <c r="J24" s="423" t="s">
        <v>380</v>
      </c>
      <c r="K24" s="423" t="s">
        <v>381</v>
      </c>
      <c r="L24" s="423" t="s">
        <v>382</v>
      </c>
      <c r="M24" s="423" t="s">
        <v>383</v>
      </c>
      <c r="N24" s="423" t="s">
        <v>384</v>
      </c>
      <c r="O24" s="423" t="s">
        <v>385</v>
      </c>
      <c r="P24" s="423" t="s">
        <v>386</v>
      </c>
      <c r="Q24" s="423" t="s">
        <v>387</v>
      </c>
      <c r="R24" s="423" t="s">
        <v>388</v>
      </c>
      <c r="S24" s="423" t="s">
        <v>389</v>
      </c>
      <c r="T24" s="423" t="s">
        <v>390</v>
      </c>
      <c r="U24" s="423" t="s">
        <v>391</v>
      </c>
      <c r="V24" s="423" t="s">
        <v>392</v>
      </c>
      <c r="W24" s="423" t="s">
        <v>393</v>
      </c>
      <c r="X24" s="423" t="s">
        <v>394</v>
      </c>
      <c r="Y24" s="423" t="s">
        <v>395</v>
      </c>
      <c r="Z24" s="423" t="s">
        <v>396</v>
      </c>
      <c r="AA24" s="423" t="s">
        <v>397</v>
      </c>
      <c r="AB24" s="423" t="s">
        <v>398</v>
      </c>
      <c r="AC24" s="423" t="s">
        <v>399</v>
      </c>
      <c r="AD24" s="423" t="s">
        <v>400</v>
      </c>
      <c r="AE24" s="423" t="s">
        <v>401</v>
      </c>
      <c r="AF24" s="423" t="s">
        <v>402</v>
      </c>
      <c r="AG24" s="423" t="s">
        <v>403</v>
      </c>
      <c r="AH24" s="423" t="s">
        <v>404</v>
      </c>
    </row>
    <row r="25" spans="2:195" x14ac:dyDescent="0.25">
      <c r="B25" s="437">
        <f>+'Datos para DJ 1948'!C4</f>
        <v>44124</v>
      </c>
      <c r="C25" s="438" t="s">
        <v>456</v>
      </c>
      <c r="D25" s="424"/>
      <c r="E25" s="424"/>
      <c r="F25" s="439">
        <f>+'Datos para DJ 1948'!D11</f>
        <v>4522500</v>
      </c>
      <c r="G25" s="424"/>
      <c r="H25" s="424"/>
      <c r="I25" s="424"/>
      <c r="J25" s="439">
        <f>+'Datos para DJ 1948'!E11</f>
        <v>2512500</v>
      </c>
      <c r="K25" s="424"/>
      <c r="L25" s="424"/>
      <c r="M25" s="424"/>
      <c r="N25" s="424"/>
      <c r="O25" s="424"/>
      <c r="P25" s="424"/>
      <c r="Q25" s="424"/>
      <c r="R25" s="424"/>
      <c r="S25" s="424"/>
      <c r="T25" s="438"/>
      <c r="U25" s="438">
        <f>+'Datos para DJ 1948'!I11</f>
        <v>502500</v>
      </c>
      <c r="V25" s="424"/>
      <c r="W25" s="424"/>
      <c r="X25" s="424"/>
      <c r="Y25" s="424"/>
      <c r="Z25" s="424"/>
      <c r="AA25" s="424"/>
      <c r="AB25" s="424"/>
      <c r="AC25" s="424"/>
      <c r="AD25" s="424"/>
      <c r="AE25" s="424"/>
      <c r="AF25" s="424"/>
      <c r="AG25" s="424"/>
      <c r="AH25" s="424">
        <v>1</v>
      </c>
    </row>
    <row r="26" spans="2:195" x14ac:dyDescent="0.25">
      <c r="B26" s="437">
        <f>+'Datos para DJ 1948'!C5</f>
        <v>44155</v>
      </c>
      <c r="C26" s="438" t="s">
        <v>457</v>
      </c>
      <c r="D26" s="424"/>
      <c r="E26" s="424"/>
      <c r="F26" s="439">
        <f>+'Datos para DJ 1948'!D12</f>
        <v>7000000</v>
      </c>
      <c r="G26" s="424"/>
      <c r="H26" s="424"/>
      <c r="I26" s="424"/>
      <c r="J26" s="438"/>
      <c r="K26" s="424"/>
      <c r="L26" s="424"/>
      <c r="M26" s="424"/>
      <c r="N26" s="424"/>
      <c r="O26" s="424"/>
      <c r="P26" s="424"/>
      <c r="Q26" s="424"/>
      <c r="R26" s="424"/>
      <c r="S26" s="424"/>
      <c r="T26" s="438"/>
      <c r="U26" s="438">
        <f>+'Datos para DJ 1948'!I12</f>
        <v>777777</v>
      </c>
      <c r="V26" s="424"/>
      <c r="W26" s="424"/>
      <c r="X26" s="424"/>
      <c r="Y26" s="424"/>
      <c r="Z26" s="424"/>
      <c r="AA26" s="424"/>
      <c r="AB26" s="424"/>
      <c r="AC26" s="424"/>
      <c r="AD26" s="424"/>
      <c r="AE26" s="424"/>
      <c r="AF26" s="424"/>
      <c r="AG26" s="424"/>
      <c r="AH26" s="424">
        <v>2</v>
      </c>
    </row>
    <row r="27" spans="2:195" x14ac:dyDescent="0.25">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row>
    <row r="28" spans="2:195" s="404" customFormat="1" x14ac:dyDescent="0.25">
      <c r="K28" s="426"/>
    </row>
    <row r="29" spans="2:195" s="404" customFormat="1" x14ac:dyDescent="0.25">
      <c r="B29" s="407" t="s">
        <v>405</v>
      </c>
      <c r="C29" s="404" t="s">
        <v>406</v>
      </c>
    </row>
    <row r="30" spans="2:195" s="404" customFormat="1" ht="15" customHeight="1" x14ac:dyDescent="0.25">
      <c r="B30" s="725" t="s">
        <v>407</v>
      </c>
      <c r="C30" s="725" t="s">
        <v>408</v>
      </c>
      <c r="D30" s="427"/>
      <c r="F30" s="428"/>
      <c r="G30" s="428"/>
      <c r="H30" s="428"/>
      <c r="K30" s="407"/>
      <c r="L30" s="407"/>
      <c r="M30" s="407"/>
      <c r="N30" s="407"/>
      <c r="O30" s="407"/>
    </row>
    <row r="31" spans="2:195" s="404" customFormat="1" ht="15" customHeight="1" x14ac:dyDescent="0.25">
      <c r="B31" s="725"/>
      <c r="C31" s="725"/>
      <c r="D31" s="427"/>
    </row>
    <row r="32" spans="2:195" s="404" customFormat="1" ht="15" customHeight="1" x14ac:dyDescent="0.25">
      <c r="B32" s="725"/>
      <c r="C32" s="725"/>
      <c r="D32" s="427"/>
    </row>
    <row r="33" spans="2:37" s="404" customFormat="1" x14ac:dyDescent="0.25">
      <c r="B33" s="725"/>
      <c r="C33" s="725"/>
      <c r="D33" s="427"/>
    </row>
    <row r="34" spans="2:37" s="404" customFormat="1" x14ac:dyDescent="0.25">
      <c r="B34" s="725"/>
      <c r="C34" s="725"/>
      <c r="D34" s="427"/>
    </row>
    <row r="35" spans="2:37" s="404" customFormat="1" x14ac:dyDescent="0.25">
      <c r="B35" s="429" t="s">
        <v>409</v>
      </c>
      <c r="C35" s="429" t="s">
        <v>410</v>
      </c>
      <c r="D35" s="430"/>
    </row>
    <row r="37" spans="2:37" x14ac:dyDescent="0.25">
      <c r="B37" s="728" t="s">
        <v>411</v>
      </c>
      <c r="C37" s="729"/>
      <c r="D37" s="729"/>
      <c r="E37" s="729"/>
      <c r="F37" s="729"/>
      <c r="G37" s="729"/>
      <c r="H37" s="729"/>
      <c r="I37" s="729"/>
      <c r="J37" s="729"/>
      <c r="K37" s="729"/>
      <c r="L37" s="729"/>
      <c r="M37" s="729"/>
      <c r="N37" s="729"/>
      <c r="O37" s="729"/>
      <c r="P37" s="729"/>
      <c r="Q37" s="729"/>
      <c r="R37" s="729"/>
      <c r="S37" s="729"/>
      <c r="T37" s="729"/>
      <c r="U37" s="729"/>
      <c r="V37" s="729"/>
      <c r="W37" s="729"/>
      <c r="X37" s="729"/>
      <c r="Y37" s="729"/>
      <c r="Z37" s="729"/>
      <c r="AA37" s="729"/>
      <c r="AB37" s="729"/>
      <c r="AC37" s="729"/>
      <c r="AD37" s="729"/>
      <c r="AE37" s="729"/>
      <c r="AF37" s="730"/>
      <c r="AK37" s="404"/>
    </row>
    <row r="38" spans="2:37" ht="36" customHeight="1" x14ac:dyDescent="0.25">
      <c r="B38" s="731" t="s">
        <v>339</v>
      </c>
      <c r="C38" s="732" t="s">
        <v>340</v>
      </c>
      <c r="D38" s="732"/>
      <c r="E38" s="732"/>
      <c r="F38" s="732"/>
      <c r="G38" s="732"/>
      <c r="H38" s="732"/>
      <c r="I38" s="732"/>
      <c r="J38" s="732"/>
      <c r="K38" s="732"/>
      <c r="L38" s="732"/>
      <c r="M38" s="732"/>
      <c r="N38" s="732"/>
      <c r="O38" s="725" t="s">
        <v>341</v>
      </c>
      <c r="P38" s="725"/>
      <c r="Q38" s="725"/>
      <c r="R38" s="725"/>
      <c r="S38" s="725"/>
      <c r="T38" s="725"/>
      <c r="U38" s="725"/>
      <c r="V38" s="725"/>
      <c r="W38" s="725"/>
      <c r="X38" s="725"/>
      <c r="Y38" s="725"/>
      <c r="Z38" s="725"/>
      <c r="AA38" s="725"/>
      <c r="AB38" s="725"/>
      <c r="AC38" s="725"/>
      <c r="AD38" s="731" t="s">
        <v>342</v>
      </c>
      <c r="AE38" s="748" t="s">
        <v>408</v>
      </c>
      <c r="AF38" s="751" t="s">
        <v>412</v>
      </c>
    </row>
    <row r="39" spans="2:37" ht="28.5" customHeight="1" x14ac:dyDescent="0.25">
      <c r="B39" s="731"/>
      <c r="C39" s="725" t="s">
        <v>344</v>
      </c>
      <c r="D39" s="725"/>
      <c r="E39" s="725"/>
      <c r="F39" s="725"/>
      <c r="G39" s="752" t="s">
        <v>345</v>
      </c>
      <c r="H39" s="753"/>
      <c r="I39" s="753"/>
      <c r="J39" s="753"/>
      <c r="K39" s="753"/>
      <c r="L39" s="421"/>
      <c r="M39" s="421"/>
      <c r="N39" s="421"/>
      <c r="O39" s="752" t="s">
        <v>346</v>
      </c>
      <c r="P39" s="753"/>
      <c r="Q39" s="753"/>
      <c r="R39" s="753"/>
      <c r="S39" s="753"/>
      <c r="T39" s="753"/>
      <c r="U39" s="753"/>
      <c r="V39" s="753"/>
      <c r="W39" s="754"/>
      <c r="X39" s="752" t="s">
        <v>347</v>
      </c>
      <c r="Y39" s="753"/>
      <c r="Z39" s="753"/>
      <c r="AA39" s="753"/>
      <c r="AB39" s="754"/>
      <c r="AC39" s="731" t="s">
        <v>348</v>
      </c>
      <c r="AD39" s="731"/>
      <c r="AE39" s="749"/>
      <c r="AF39" s="751"/>
      <c r="AJ39" s="404"/>
      <c r="AK39" s="404"/>
    </row>
    <row r="40" spans="2:37" ht="54" customHeight="1" x14ac:dyDescent="0.25">
      <c r="B40" s="731"/>
      <c r="C40" s="725"/>
      <c r="D40" s="725"/>
      <c r="E40" s="725"/>
      <c r="F40" s="725"/>
      <c r="G40" s="755" t="s">
        <v>349</v>
      </c>
      <c r="H40" s="756"/>
      <c r="I40" s="756"/>
      <c r="J40" s="756"/>
      <c r="K40" s="756"/>
      <c r="L40" s="757" t="s">
        <v>413</v>
      </c>
      <c r="M40" s="758"/>
      <c r="N40" s="748" t="s">
        <v>351</v>
      </c>
      <c r="O40" s="726" t="s">
        <v>352</v>
      </c>
      <c r="P40" s="759"/>
      <c r="Q40" s="759"/>
      <c r="R40" s="759"/>
      <c r="S40" s="759"/>
      <c r="T40" s="727"/>
      <c r="U40" s="726" t="s">
        <v>353</v>
      </c>
      <c r="V40" s="727"/>
      <c r="W40" s="733" t="s">
        <v>354</v>
      </c>
      <c r="X40" s="726" t="s">
        <v>352</v>
      </c>
      <c r="Y40" s="727"/>
      <c r="Z40" s="726" t="s">
        <v>414</v>
      </c>
      <c r="AA40" s="727"/>
      <c r="AB40" s="736" t="s">
        <v>355</v>
      </c>
      <c r="AC40" s="731"/>
      <c r="AD40" s="731"/>
      <c r="AE40" s="749"/>
      <c r="AF40" s="751"/>
    </row>
    <row r="41" spans="2:37" ht="50.25" customHeight="1" x14ac:dyDescent="0.25">
      <c r="B41" s="731"/>
      <c r="C41" s="725"/>
      <c r="D41" s="725"/>
      <c r="E41" s="725"/>
      <c r="F41" s="725"/>
      <c r="G41" s="739" t="s">
        <v>356</v>
      </c>
      <c r="H41" s="742" t="s">
        <v>357</v>
      </c>
      <c r="I41" s="739" t="s">
        <v>358</v>
      </c>
      <c r="J41" s="739" t="s">
        <v>359</v>
      </c>
      <c r="K41" s="739" t="s">
        <v>360</v>
      </c>
      <c r="L41" s="745" t="s">
        <v>361</v>
      </c>
      <c r="M41" s="739" t="s">
        <v>362</v>
      </c>
      <c r="N41" s="749"/>
      <c r="O41" s="726" t="s">
        <v>363</v>
      </c>
      <c r="P41" s="727"/>
      <c r="Q41" s="726" t="s">
        <v>364</v>
      </c>
      <c r="R41" s="727"/>
      <c r="S41" s="726" t="s">
        <v>118</v>
      </c>
      <c r="T41" s="727"/>
      <c r="U41" s="726" t="s">
        <v>118</v>
      </c>
      <c r="V41" s="727"/>
      <c r="W41" s="734"/>
      <c r="X41" s="724" t="s">
        <v>365</v>
      </c>
      <c r="Y41" s="724" t="s">
        <v>366</v>
      </c>
      <c r="Z41" s="724" t="s">
        <v>365</v>
      </c>
      <c r="AA41" s="724" t="s">
        <v>366</v>
      </c>
      <c r="AB41" s="737"/>
      <c r="AC41" s="731"/>
      <c r="AD41" s="731"/>
      <c r="AE41" s="749"/>
      <c r="AF41" s="751"/>
    </row>
    <row r="42" spans="2:37" x14ac:dyDescent="0.25">
      <c r="B42" s="731"/>
      <c r="C42" s="725" t="s">
        <v>368</v>
      </c>
      <c r="D42" s="725" t="s">
        <v>369</v>
      </c>
      <c r="E42" s="725" t="s">
        <v>370</v>
      </c>
      <c r="F42" s="725" t="s">
        <v>371</v>
      </c>
      <c r="G42" s="740"/>
      <c r="H42" s="743"/>
      <c r="I42" s="740"/>
      <c r="J42" s="740"/>
      <c r="K42" s="740"/>
      <c r="L42" s="746"/>
      <c r="M42" s="740"/>
      <c r="N42" s="749"/>
      <c r="O42" s="724" t="s">
        <v>365</v>
      </c>
      <c r="P42" s="724" t="s">
        <v>366</v>
      </c>
      <c r="Q42" s="724" t="s">
        <v>365</v>
      </c>
      <c r="R42" s="724" t="s">
        <v>366</v>
      </c>
      <c r="S42" s="724" t="s">
        <v>365</v>
      </c>
      <c r="T42" s="724" t="s">
        <v>366</v>
      </c>
      <c r="U42" s="724" t="s">
        <v>365</v>
      </c>
      <c r="V42" s="724" t="s">
        <v>366</v>
      </c>
      <c r="W42" s="734"/>
      <c r="X42" s="724"/>
      <c r="Y42" s="724"/>
      <c r="Z42" s="724"/>
      <c r="AA42" s="724"/>
      <c r="AB42" s="737"/>
      <c r="AC42" s="731"/>
      <c r="AD42" s="731"/>
      <c r="AE42" s="749"/>
      <c r="AF42" s="751"/>
    </row>
    <row r="43" spans="2:37" ht="83.25" customHeight="1" x14ac:dyDescent="0.25">
      <c r="B43" s="731"/>
      <c r="C43" s="725"/>
      <c r="D43" s="725"/>
      <c r="E43" s="725"/>
      <c r="F43" s="725"/>
      <c r="G43" s="741"/>
      <c r="H43" s="744"/>
      <c r="I43" s="741"/>
      <c r="J43" s="741"/>
      <c r="K43" s="741"/>
      <c r="L43" s="747"/>
      <c r="M43" s="741"/>
      <c r="N43" s="750"/>
      <c r="O43" s="724"/>
      <c r="P43" s="724"/>
      <c r="Q43" s="724"/>
      <c r="R43" s="724"/>
      <c r="S43" s="724"/>
      <c r="T43" s="724"/>
      <c r="U43" s="724"/>
      <c r="V43" s="724"/>
      <c r="W43" s="735"/>
      <c r="X43" s="724"/>
      <c r="Y43" s="724"/>
      <c r="Z43" s="724"/>
      <c r="AA43" s="724"/>
      <c r="AB43" s="738"/>
      <c r="AC43" s="731"/>
      <c r="AD43" s="731"/>
      <c r="AE43" s="750"/>
      <c r="AF43" s="751"/>
    </row>
    <row r="44" spans="2:37" ht="43.5" customHeight="1" x14ac:dyDescent="0.25">
      <c r="B44" s="423" t="s">
        <v>415</v>
      </c>
      <c r="C44" s="423" t="s">
        <v>416</v>
      </c>
      <c r="D44" s="423" t="s">
        <v>417</v>
      </c>
      <c r="E44" s="423" t="s">
        <v>418</v>
      </c>
      <c r="F44" s="423" t="s">
        <v>419</v>
      </c>
      <c r="G44" s="423" t="s">
        <v>420</v>
      </c>
      <c r="H44" s="423" t="s">
        <v>421</v>
      </c>
      <c r="I44" s="423" t="s">
        <v>422</v>
      </c>
      <c r="J44" s="423" t="s">
        <v>423</v>
      </c>
      <c r="K44" s="423" t="s">
        <v>424</v>
      </c>
      <c r="L44" s="423" t="s">
        <v>425</v>
      </c>
      <c r="M44" s="423" t="s">
        <v>426</v>
      </c>
      <c r="N44" s="423" t="s">
        <v>427</v>
      </c>
      <c r="O44" s="423" t="s">
        <v>428</v>
      </c>
      <c r="P44" s="423" t="s">
        <v>429</v>
      </c>
      <c r="Q44" s="423" t="s">
        <v>430</v>
      </c>
      <c r="R44" s="423" t="s">
        <v>431</v>
      </c>
      <c r="S44" s="423" t="s">
        <v>432</v>
      </c>
      <c r="T44" s="423" t="s">
        <v>433</v>
      </c>
      <c r="U44" s="423" t="s">
        <v>434</v>
      </c>
      <c r="V44" s="423" t="s">
        <v>435</v>
      </c>
      <c r="W44" s="423" t="s">
        <v>436</v>
      </c>
      <c r="X44" s="423" t="s">
        <v>437</v>
      </c>
      <c r="Y44" s="423" t="s">
        <v>438</v>
      </c>
      <c r="Z44" s="423" t="s">
        <v>439</v>
      </c>
      <c r="AA44" s="423" t="s">
        <v>440</v>
      </c>
      <c r="AB44" s="423" t="s">
        <v>441</v>
      </c>
      <c r="AC44" s="423" t="s">
        <v>442</v>
      </c>
      <c r="AD44" s="423" t="s">
        <v>443</v>
      </c>
      <c r="AE44" s="423" t="s">
        <v>444</v>
      </c>
      <c r="AF44" s="423" t="s">
        <v>445</v>
      </c>
    </row>
    <row r="45" spans="2:37" ht="43.5" customHeight="1" x14ac:dyDescent="0.25">
      <c r="B45" s="423">
        <f>+SUM(E25:E26)</f>
        <v>0</v>
      </c>
      <c r="C45" s="436">
        <f>+SUM(F25:F26)</f>
        <v>11522500</v>
      </c>
      <c r="D45" s="436">
        <f>+SUM(G25:G26)</f>
        <v>0</v>
      </c>
      <c r="E45" s="436">
        <f t="shared" ref="E45:X45" si="0">+SUM(H25:H26)</f>
        <v>0</v>
      </c>
      <c r="F45" s="436">
        <f t="shared" si="0"/>
        <v>0</v>
      </c>
      <c r="G45" s="436">
        <f t="shared" si="0"/>
        <v>2512500</v>
      </c>
      <c r="H45" s="436">
        <f t="shared" si="0"/>
        <v>0</v>
      </c>
      <c r="I45" s="436">
        <f t="shared" si="0"/>
        <v>0</v>
      </c>
      <c r="J45" s="436">
        <f t="shared" si="0"/>
        <v>0</v>
      </c>
      <c r="K45" s="436">
        <f t="shared" si="0"/>
        <v>0</v>
      </c>
      <c r="L45" s="436">
        <f t="shared" si="0"/>
        <v>0</v>
      </c>
      <c r="M45" s="436">
        <f t="shared" si="0"/>
        <v>0</v>
      </c>
      <c r="N45" s="436">
        <f t="shared" si="0"/>
        <v>0</v>
      </c>
      <c r="O45" s="436">
        <f t="shared" si="0"/>
        <v>0</v>
      </c>
      <c r="P45" s="436">
        <f t="shared" si="0"/>
        <v>0</v>
      </c>
      <c r="Q45" s="436">
        <f>+SUM(T25:T26)</f>
        <v>0</v>
      </c>
      <c r="R45" s="436">
        <f>+SUM(U25:U26)</f>
        <v>1280277</v>
      </c>
      <c r="S45" s="436">
        <f t="shared" si="0"/>
        <v>0</v>
      </c>
      <c r="T45" s="436">
        <f t="shared" si="0"/>
        <v>0</v>
      </c>
      <c r="U45" s="436">
        <f t="shared" si="0"/>
        <v>0</v>
      </c>
      <c r="V45" s="436">
        <f t="shared" si="0"/>
        <v>0</v>
      </c>
      <c r="W45" s="436">
        <f t="shared" si="0"/>
        <v>0</v>
      </c>
      <c r="X45" s="436">
        <f t="shared" si="0"/>
        <v>0</v>
      </c>
      <c r="Y45" s="436">
        <f t="shared" ref="Y45" si="1">+SUM(AB25:AB26)</f>
        <v>0</v>
      </c>
      <c r="Z45" s="436">
        <f t="shared" ref="Z45" si="2">+SUM(AC25:AC26)</f>
        <v>0</v>
      </c>
      <c r="AA45" s="436">
        <f t="shared" ref="AA45" si="3">+SUM(AD25:AD26)</f>
        <v>0</v>
      </c>
      <c r="AB45" s="436">
        <f t="shared" ref="AB45" si="4">+SUM(AE25:AE26)</f>
        <v>0</v>
      </c>
      <c r="AC45" s="436">
        <f t="shared" ref="AC45" si="5">+SUM(AF25:AF26)</f>
        <v>0</v>
      </c>
      <c r="AD45" s="436">
        <f t="shared" ref="AD45" si="6">+SUM(AG25:AG26)</f>
        <v>0</v>
      </c>
      <c r="AE45" s="436">
        <f t="shared" ref="AE45" si="7">+SUM(AH25:AH26)</f>
        <v>3</v>
      </c>
      <c r="AF45" s="436">
        <f t="shared" ref="AF45" si="8">+SUM(AI25:AI26)</f>
        <v>0</v>
      </c>
    </row>
    <row r="48" spans="2:37" x14ac:dyDescent="0.25">
      <c r="B48" s="715" t="s">
        <v>446</v>
      </c>
      <c r="C48" s="715"/>
      <c r="D48" s="715"/>
      <c r="E48" s="715"/>
      <c r="F48" s="715"/>
      <c r="G48" s="715"/>
      <c r="H48" s="715"/>
      <c r="I48" s="715"/>
      <c r="J48" s="715"/>
      <c r="K48" s="715"/>
      <c r="L48" s="715"/>
      <c r="M48" s="715"/>
      <c r="N48" s="715"/>
      <c r="O48" s="715"/>
      <c r="P48" s="715"/>
      <c r="Q48" s="715"/>
      <c r="R48" s="715"/>
      <c r="S48" s="715"/>
      <c r="T48" s="715"/>
      <c r="U48" s="715"/>
      <c r="V48" s="715"/>
    </row>
    <row r="49" spans="2:32" x14ac:dyDescent="0.25">
      <c r="V49" s="404"/>
      <c r="W49" s="404"/>
      <c r="X49" s="404"/>
      <c r="Y49" s="404"/>
      <c r="Z49" s="404"/>
      <c r="AA49" s="404"/>
      <c r="AB49" s="404"/>
      <c r="AC49" s="404"/>
      <c r="AD49" s="404"/>
      <c r="AE49" s="404"/>
      <c r="AF49" s="404"/>
    </row>
    <row r="50" spans="2:32" x14ac:dyDescent="0.25">
      <c r="Q50" s="404"/>
    </row>
    <row r="51" spans="2:32" x14ac:dyDescent="0.25">
      <c r="B51" s="716" t="s">
        <v>447</v>
      </c>
      <c r="C51" s="717"/>
      <c r="D51" s="431"/>
      <c r="F51" s="718" t="s">
        <v>448</v>
      </c>
      <c r="G51" s="718"/>
      <c r="H51" s="718"/>
      <c r="I51" s="718"/>
      <c r="J51" s="431"/>
      <c r="K51" s="431"/>
      <c r="L51" s="431"/>
      <c r="M51" s="431"/>
      <c r="N51" s="431"/>
    </row>
    <row r="52" spans="2:32" x14ac:dyDescent="0.25">
      <c r="B52" s="432"/>
      <c r="C52" s="433"/>
      <c r="D52" s="434"/>
      <c r="F52" s="432"/>
      <c r="G52" s="435"/>
      <c r="H52" s="435"/>
      <c r="I52" s="433"/>
      <c r="J52" s="434"/>
      <c r="K52" s="434"/>
      <c r="L52" s="434"/>
      <c r="M52" s="434"/>
      <c r="N52" s="434"/>
    </row>
    <row r="53" spans="2:32" x14ac:dyDescent="0.25">
      <c r="C53" s="404"/>
      <c r="D53" s="404"/>
    </row>
  </sheetData>
  <mergeCells count="109">
    <mergeCell ref="D2:M3"/>
    <mergeCell ref="D9:F9"/>
    <mergeCell ref="D11:F11"/>
    <mergeCell ref="D13:F13"/>
    <mergeCell ref="D14:F14"/>
    <mergeCell ref="B18:B23"/>
    <mergeCell ref="C18:C23"/>
    <mergeCell ref="D18:D23"/>
    <mergeCell ref="E18:E23"/>
    <mergeCell ref="F18:Q18"/>
    <mergeCell ref="R18:AF18"/>
    <mergeCell ref="AG18:AG23"/>
    <mergeCell ref="AH18:AH23"/>
    <mergeCell ref="F19:I21"/>
    <mergeCell ref="J19:N19"/>
    <mergeCell ref="R19:Z19"/>
    <mergeCell ref="AA19:AE19"/>
    <mergeCell ref="AF19:AF23"/>
    <mergeCell ref="J20:N20"/>
    <mergeCell ref="O20:P20"/>
    <mergeCell ref="B30:B34"/>
    <mergeCell ref="C30:C34"/>
    <mergeCell ref="AC21:AC23"/>
    <mergeCell ref="AD21:AD23"/>
    <mergeCell ref="F22:F23"/>
    <mergeCell ref="G22:G23"/>
    <mergeCell ref="H22:H23"/>
    <mergeCell ref="I22:I23"/>
    <mergeCell ref="R22:R23"/>
    <mergeCell ref="S22:S23"/>
    <mergeCell ref="T22:T23"/>
    <mergeCell ref="U22:U23"/>
    <mergeCell ref="J21:J23"/>
    <mergeCell ref="K21:K23"/>
    <mergeCell ref="L21:L23"/>
    <mergeCell ref="M21:M23"/>
    <mergeCell ref="N21:N23"/>
    <mergeCell ref="O21:O23"/>
    <mergeCell ref="P21:P23"/>
    <mergeCell ref="R21:S21"/>
    <mergeCell ref="T21:U21"/>
    <mergeCell ref="Q20:Q23"/>
    <mergeCell ref="R20:W20"/>
    <mergeCell ref="X20:Y20"/>
    <mergeCell ref="AE38:AE43"/>
    <mergeCell ref="AF38:AF43"/>
    <mergeCell ref="C39:F41"/>
    <mergeCell ref="G39:K39"/>
    <mergeCell ref="O39:W39"/>
    <mergeCell ref="V22:V23"/>
    <mergeCell ref="W22:W23"/>
    <mergeCell ref="X22:X23"/>
    <mergeCell ref="Y22:Y23"/>
    <mergeCell ref="AE20:AE23"/>
    <mergeCell ref="Z20:Z23"/>
    <mergeCell ref="AA20:AB20"/>
    <mergeCell ref="AC20:AD20"/>
    <mergeCell ref="V21:W21"/>
    <mergeCell ref="X21:Y21"/>
    <mergeCell ref="AA21:AA23"/>
    <mergeCell ref="AB21:AB23"/>
    <mergeCell ref="X39:AB39"/>
    <mergeCell ref="AC39:AC43"/>
    <mergeCell ref="G40:K40"/>
    <mergeCell ref="L40:M40"/>
    <mergeCell ref="N40:N43"/>
    <mergeCell ref="O40:T40"/>
    <mergeCell ref="U40:V40"/>
    <mergeCell ref="W40:W43"/>
    <mergeCell ref="X40:Y40"/>
    <mergeCell ref="Z40:AA40"/>
    <mergeCell ref="X41:X43"/>
    <mergeCell ref="Y41:Y43"/>
    <mergeCell ref="Z41:Z43"/>
    <mergeCell ref="AA41:AA43"/>
    <mergeCell ref="AB40:AB43"/>
    <mergeCell ref="G41:G43"/>
    <mergeCell ref="H41:H43"/>
    <mergeCell ref="I41:I43"/>
    <mergeCell ref="J41:J43"/>
    <mergeCell ref="K41:K43"/>
    <mergeCell ref="L41:L43"/>
    <mergeCell ref="M41:M43"/>
    <mergeCell ref="O41:P41"/>
    <mergeCell ref="Q41:R41"/>
    <mergeCell ref="B48:V48"/>
    <mergeCell ref="B51:C51"/>
    <mergeCell ref="F51:I51"/>
    <mergeCell ref="B10:C10"/>
    <mergeCell ref="D10:F10"/>
    <mergeCell ref="Q42:Q43"/>
    <mergeCell ref="R42:R43"/>
    <mergeCell ref="S42:S43"/>
    <mergeCell ref="T42:T43"/>
    <mergeCell ref="U42:U43"/>
    <mergeCell ref="V42:V43"/>
    <mergeCell ref="C42:C43"/>
    <mergeCell ref="D42:D43"/>
    <mergeCell ref="E42:E43"/>
    <mergeCell ref="F42:F43"/>
    <mergeCell ref="O42:O43"/>
    <mergeCell ref="P42:P43"/>
    <mergeCell ref="S41:T41"/>
    <mergeCell ref="U41:V41"/>
    <mergeCell ref="B37:AF37"/>
    <mergeCell ref="B38:B43"/>
    <mergeCell ref="C38:N38"/>
    <mergeCell ref="O38:AC38"/>
    <mergeCell ref="AD38:AD43"/>
  </mergeCells>
  <pageMargins left="0.23622047244094491" right="0.23622047244094491" top="0.55118110236220474" bottom="0.39370078740157483" header="0.31496062992125984" footer="0.31496062992125984"/>
  <pageSetup paperSize="5" scale="70" fitToWidth="0" orientation="landscape" r:id="rId1"/>
  <colBreaks count="2" manualBreakCount="2">
    <brk id="14" min="1" max="35" man="1"/>
    <brk id="28" min="1"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GO38"/>
  <sheetViews>
    <sheetView showGridLines="0" topLeftCell="O4" zoomScale="85" zoomScaleNormal="85" workbookViewId="0">
      <selection activeCell="X19" sqref="X19"/>
    </sheetView>
  </sheetViews>
  <sheetFormatPr baseColWidth="10" defaultColWidth="11.42578125" defaultRowHeight="15" x14ac:dyDescent="0.25"/>
  <cols>
    <col min="1" max="1" width="3.140625" style="440" customWidth="1"/>
    <col min="2" max="2" width="13.5703125" style="440" customWidth="1"/>
    <col min="3" max="3" width="16.42578125" style="440" customWidth="1"/>
    <col min="4" max="4" width="15.5703125" style="440" customWidth="1"/>
    <col min="5" max="5" width="17.42578125" style="440" customWidth="1"/>
    <col min="6" max="6" width="16.85546875" style="440" customWidth="1"/>
    <col min="7" max="7" width="14.85546875" style="440" customWidth="1"/>
    <col min="8" max="8" width="16.85546875" style="440" customWidth="1"/>
    <col min="9" max="12" width="17.5703125" style="440" customWidth="1"/>
    <col min="13" max="13" width="18.140625" style="440" customWidth="1"/>
    <col min="14" max="14" width="17.5703125" style="440" customWidth="1"/>
    <col min="15" max="15" width="21.85546875" style="440" customWidth="1"/>
    <col min="16" max="18" width="23.42578125" style="440" customWidth="1"/>
    <col min="19" max="19" width="22.42578125" style="440" customWidth="1"/>
    <col min="20" max="20" width="17.5703125" style="440" customWidth="1"/>
    <col min="21" max="21" width="15.5703125" style="440" customWidth="1"/>
    <col min="22" max="22" width="17.140625" style="440" customWidth="1"/>
    <col min="23" max="23" width="15.85546875" style="440" customWidth="1"/>
    <col min="24" max="24" width="18.5703125" style="440" customWidth="1"/>
    <col min="25" max="30" width="15.5703125" style="440" customWidth="1"/>
    <col min="31" max="31" width="17.140625" style="440" customWidth="1"/>
    <col min="32" max="33" width="20" style="440" customWidth="1"/>
    <col min="34" max="35" width="17.140625" style="440" customWidth="1"/>
    <col min="36" max="37" width="15.5703125" style="440" customWidth="1"/>
    <col min="38" max="38" width="17.140625" style="440" customWidth="1"/>
    <col min="39" max="39" width="15.5703125" style="440" customWidth="1"/>
    <col min="40" max="16384" width="11.42578125" style="440"/>
  </cols>
  <sheetData>
    <row r="2" spans="2:197" ht="15.75" x14ac:dyDescent="0.25">
      <c r="B2" s="440" t="s">
        <v>460</v>
      </c>
      <c r="D2" s="473" t="str">
        <f>+'F1948'!D10:F10</f>
        <v xml:space="preserve">La sociedad  EC  &amp; GET Ltda., </v>
      </c>
      <c r="W2" s="440" t="s">
        <v>252</v>
      </c>
    </row>
    <row r="3" spans="2:197" ht="15.75" x14ac:dyDescent="0.25">
      <c r="B3" s="440" t="s">
        <v>461</v>
      </c>
      <c r="D3" s="473" t="str">
        <f>+'F1948'!B10</f>
        <v>20-5</v>
      </c>
      <c r="W3" s="440" t="s">
        <v>252</v>
      </c>
      <c r="AF3" s="441" t="s">
        <v>462</v>
      </c>
      <c r="AG3" s="441"/>
      <c r="AH3" s="442"/>
      <c r="AI3" s="443"/>
    </row>
    <row r="4" spans="2:197" ht="15.75" x14ac:dyDescent="0.25">
      <c r="B4" s="440" t="s">
        <v>463</v>
      </c>
      <c r="D4" s="474" t="s">
        <v>546</v>
      </c>
      <c r="W4" s="440" t="s">
        <v>252</v>
      </c>
      <c r="AF4" s="441" t="s">
        <v>464</v>
      </c>
      <c r="AG4" s="441"/>
      <c r="AH4" s="442"/>
      <c r="AI4" s="443"/>
    </row>
    <row r="5" spans="2:197" ht="15.75" x14ac:dyDescent="0.25">
      <c r="B5" s="440" t="s">
        <v>465</v>
      </c>
      <c r="D5" s="474" t="s">
        <v>547</v>
      </c>
      <c r="W5" s="440" t="s">
        <v>252</v>
      </c>
    </row>
    <row r="7" spans="2:197" x14ac:dyDescent="0.25">
      <c r="B7" s="444"/>
      <c r="C7" s="444"/>
      <c r="D7" s="444"/>
      <c r="E7" s="444"/>
      <c r="F7" s="444"/>
      <c r="G7" s="444"/>
      <c r="H7" s="444"/>
      <c r="I7" s="444"/>
    </row>
    <row r="8" spans="2:197" ht="18.75" x14ac:dyDescent="0.3">
      <c r="B8" s="445" t="s">
        <v>466</v>
      </c>
      <c r="C8" s="445"/>
      <c r="D8" s="475" t="s">
        <v>467</v>
      </c>
      <c r="E8" s="445"/>
      <c r="F8" s="445"/>
      <c r="G8" s="445"/>
      <c r="H8" s="445"/>
      <c r="I8" s="445"/>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row>
    <row r="10" spans="2:197" ht="37.35" customHeight="1" x14ac:dyDescent="0.25">
      <c r="B10" s="820" t="s">
        <v>548</v>
      </c>
      <c r="C10" s="820"/>
      <c r="D10" s="820"/>
      <c r="E10" s="820"/>
      <c r="F10" s="820"/>
      <c r="G10" s="820"/>
      <c r="H10" s="820"/>
      <c r="I10" s="820"/>
      <c r="J10" s="820"/>
      <c r="K10" s="820"/>
      <c r="L10" s="820"/>
      <c r="M10" s="820"/>
      <c r="N10" s="820"/>
      <c r="O10" s="820"/>
      <c r="P10" s="820"/>
      <c r="Q10" s="820"/>
      <c r="R10" s="820"/>
      <c r="S10" s="446"/>
      <c r="T10" s="446"/>
      <c r="U10" s="446"/>
    </row>
    <row r="11" spans="2:197" ht="7.35" customHeight="1" x14ac:dyDescent="0.25"/>
    <row r="12" spans="2:197" s="448" customFormat="1" ht="15" customHeight="1" x14ac:dyDescent="0.25">
      <c r="B12" s="797" t="s">
        <v>468</v>
      </c>
      <c r="C12" s="797" t="s">
        <v>469</v>
      </c>
      <c r="D12" s="797" t="s">
        <v>470</v>
      </c>
      <c r="E12" s="797" t="s">
        <v>471</v>
      </c>
      <c r="F12" s="797" t="s">
        <v>472</v>
      </c>
      <c r="G12" s="797" t="s">
        <v>473</v>
      </c>
      <c r="H12" s="795" t="s">
        <v>474</v>
      </c>
      <c r="I12" s="796"/>
      <c r="J12" s="796"/>
      <c r="K12" s="796"/>
      <c r="L12" s="796"/>
      <c r="M12" s="796"/>
      <c r="N12" s="821"/>
      <c r="O12" s="821"/>
      <c r="P12" s="821"/>
      <c r="Q12" s="447"/>
      <c r="R12" s="447"/>
      <c r="S12" s="447"/>
      <c r="T12" s="447"/>
      <c r="U12" s="795" t="s">
        <v>341</v>
      </c>
      <c r="V12" s="796"/>
      <c r="W12" s="796"/>
      <c r="X12" s="796"/>
      <c r="Y12" s="796"/>
      <c r="Z12" s="796"/>
      <c r="AA12" s="796"/>
      <c r="AB12" s="796"/>
      <c r="AC12" s="796"/>
      <c r="AD12" s="796"/>
      <c r="AE12" s="796"/>
      <c r="AF12" s="796"/>
      <c r="AG12" s="796"/>
      <c r="AH12" s="796"/>
      <c r="AI12" s="447"/>
      <c r="AJ12" s="797" t="s">
        <v>475</v>
      </c>
      <c r="AK12" s="797" t="s">
        <v>476</v>
      </c>
      <c r="AL12" s="797" t="s">
        <v>477</v>
      </c>
    </row>
    <row r="13" spans="2:197" s="448" customFormat="1" ht="15" customHeight="1" x14ac:dyDescent="0.25">
      <c r="B13" s="798"/>
      <c r="C13" s="798"/>
      <c r="D13" s="798"/>
      <c r="E13" s="798"/>
      <c r="F13" s="798"/>
      <c r="G13" s="798"/>
      <c r="H13" s="799" t="s">
        <v>478</v>
      </c>
      <c r="I13" s="800" t="s">
        <v>479</v>
      </c>
      <c r="J13" s="801"/>
      <c r="K13" s="801"/>
      <c r="L13" s="802"/>
      <c r="M13" s="809" t="s">
        <v>480</v>
      </c>
      <c r="N13" s="810"/>
      <c r="O13" s="810"/>
      <c r="P13" s="810"/>
      <c r="Q13" s="810"/>
      <c r="R13" s="810"/>
      <c r="S13" s="810"/>
      <c r="T13" s="811"/>
      <c r="U13" s="812" t="s">
        <v>481</v>
      </c>
      <c r="V13" s="813"/>
      <c r="W13" s="813"/>
      <c r="X13" s="813"/>
      <c r="Y13" s="813"/>
      <c r="Z13" s="813"/>
      <c r="AA13" s="813"/>
      <c r="AB13" s="813"/>
      <c r="AC13" s="814"/>
      <c r="AD13" s="812" t="s">
        <v>482</v>
      </c>
      <c r="AE13" s="813"/>
      <c r="AF13" s="813"/>
      <c r="AG13" s="813"/>
      <c r="AH13" s="814"/>
      <c r="AI13" s="815" t="s">
        <v>483</v>
      </c>
      <c r="AJ13" s="798"/>
      <c r="AK13" s="798"/>
      <c r="AL13" s="798"/>
      <c r="GO13" s="449" t="s">
        <v>367</v>
      </c>
    </row>
    <row r="14" spans="2:197" s="448" customFormat="1" ht="36.75" customHeight="1" x14ac:dyDescent="0.25">
      <c r="B14" s="798"/>
      <c r="C14" s="798"/>
      <c r="D14" s="798"/>
      <c r="E14" s="798"/>
      <c r="F14" s="798"/>
      <c r="G14" s="798"/>
      <c r="H14" s="799"/>
      <c r="I14" s="803"/>
      <c r="J14" s="804"/>
      <c r="K14" s="804"/>
      <c r="L14" s="805"/>
      <c r="M14" s="822" t="s">
        <v>304</v>
      </c>
      <c r="N14" s="823"/>
      <c r="O14" s="823"/>
      <c r="P14" s="823"/>
      <c r="Q14" s="823"/>
      <c r="R14" s="824" t="s">
        <v>484</v>
      </c>
      <c r="S14" s="825"/>
      <c r="T14" s="792" t="s">
        <v>485</v>
      </c>
      <c r="U14" s="789" t="s">
        <v>486</v>
      </c>
      <c r="V14" s="794"/>
      <c r="W14" s="794"/>
      <c r="X14" s="794"/>
      <c r="Y14" s="794"/>
      <c r="Z14" s="790"/>
      <c r="AA14" s="789" t="s">
        <v>487</v>
      </c>
      <c r="AB14" s="790"/>
      <c r="AC14" s="787" t="s">
        <v>488</v>
      </c>
      <c r="AD14" s="789" t="s">
        <v>486</v>
      </c>
      <c r="AE14" s="790"/>
      <c r="AF14" s="789" t="s">
        <v>487</v>
      </c>
      <c r="AG14" s="790"/>
      <c r="AH14" s="787" t="s">
        <v>488</v>
      </c>
      <c r="AI14" s="815"/>
      <c r="AJ14" s="798"/>
      <c r="AK14" s="798"/>
      <c r="AL14" s="798"/>
      <c r="GO14" s="449"/>
    </row>
    <row r="15" spans="2:197" s="448" customFormat="1" ht="49.35" customHeight="1" x14ac:dyDescent="0.25">
      <c r="B15" s="798"/>
      <c r="C15" s="798"/>
      <c r="D15" s="798"/>
      <c r="E15" s="798"/>
      <c r="F15" s="798"/>
      <c r="G15" s="798"/>
      <c r="H15" s="799"/>
      <c r="I15" s="803"/>
      <c r="J15" s="804"/>
      <c r="K15" s="804"/>
      <c r="L15" s="805"/>
      <c r="M15" s="818" t="s">
        <v>489</v>
      </c>
      <c r="N15" s="818" t="s">
        <v>490</v>
      </c>
      <c r="O15" s="818" t="s">
        <v>491</v>
      </c>
      <c r="P15" s="818" t="s">
        <v>492</v>
      </c>
      <c r="Q15" s="818" t="s">
        <v>493</v>
      </c>
      <c r="R15" s="818" t="s">
        <v>494</v>
      </c>
      <c r="S15" s="818" t="s">
        <v>495</v>
      </c>
      <c r="T15" s="793"/>
      <c r="U15" s="789" t="s">
        <v>496</v>
      </c>
      <c r="V15" s="790"/>
      <c r="W15" s="789" t="s">
        <v>497</v>
      </c>
      <c r="X15" s="790"/>
      <c r="Y15" s="789" t="s">
        <v>498</v>
      </c>
      <c r="Z15" s="790"/>
      <c r="AA15" s="789" t="s">
        <v>498</v>
      </c>
      <c r="AB15" s="790"/>
      <c r="AC15" s="788"/>
      <c r="AD15" s="791" t="s">
        <v>499</v>
      </c>
      <c r="AE15" s="791" t="s">
        <v>500</v>
      </c>
      <c r="AF15" s="791" t="s">
        <v>499</v>
      </c>
      <c r="AG15" s="791" t="s">
        <v>500</v>
      </c>
      <c r="AH15" s="817"/>
      <c r="AI15" s="815"/>
      <c r="AJ15" s="798"/>
      <c r="AK15" s="798"/>
      <c r="AL15" s="798"/>
      <c r="GO15" s="449"/>
    </row>
    <row r="16" spans="2:197" s="448" customFormat="1" ht="15" customHeight="1" x14ac:dyDescent="0.25">
      <c r="B16" s="798"/>
      <c r="C16" s="798"/>
      <c r="D16" s="798"/>
      <c r="E16" s="798"/>
      <c r="F16" s="798"/>
      <c r="G16" s="798"/>
      <c r="H16" s="799"/>
      <c r="I16" s="806"/>
      <c r="J16" s="807"/>
      <c r="K16" s="807"/>
      <c r="L16" s="808"/>
      <c r="M16" s="819"/>
      <c r="N16" s="819"/>
      <c r="O16" s="819"/>
      <c r="P16" s="819"/>
      <c r="Q16" s="819"/>
      <c r="R16" s="819"/>
      <c r="S16" s="819"/>
      <c r="T16" s="793"/>
      <c r="U16" s="791" t="s">
        <v>499</v>
      </c>
      <c r="V16" s="791" t="s">
        <v>500</v>
      </c>
      <c r="W16" s="791" t="s">
        <v>499</v>
      </c>
      <c r="X16" s="791" t="s">
        <v>500</v>
      </c>
      <c r="Y16" s="791" t="s">
        <v>499</v>
      </c>
      <c r="Z16" s="791" t="s">
        <v>500</v>
      </c>
      <c r="AA16" s="791" t="s">
        <v>499</v>
      </c>
      <c r="AB16" s="791" t="s">
        <v>500</v>
      </c>
      <c r="AC16" s="788"/>
      <c r="AD16" s="791"/>
      <c r="AE16" s="791"/>
      <c r="AF16" s="791"/>
      <c r="AG16" s="791"/>
      <c r="AH16" s="817"/>
      <c r="AI16" s="815"/>
      <c r="AJ16" s="798"/>
      <c r="AK16" s="798"/>
      <c r="AL16" s="798"/>
    </row>
    <row r="17" spans="2:38" ht="75" x14ac:dyDescent="0.25">
      <c r="B17" s="798"/>
      <c r="C17" s="798"/>
      <c r="D17" s="798"/>
      <c r="E17" s="798"/>
      <c r="F17" s="798"/>
      <c r="G17" s="798"/>
      <c r="H17" s="797"/>
      <c r="I17" s="450" t="s">
        <v>501</v>
      </c>
      <c r="J17" s="450" t="s">
        <v>502</v>
      </c>
      <c r="K17" s="450" t="s">
        <v>503</v>
      </c>
      <c r="L17" s="450" t="s">
        <v>504</v>
      </c>
      <c r="M17" s="819"/>
      <c r="N17" s="819"/>
      <c r="O17" s="819"/>
      <c r="P17" s="819"/>
      <c r="Q17" s="819"/>
      <c r="R17" s="819"/>
      <c r="S17" s="819"/>
      <c r="T17" s="793"/>
      <c r="U17" s="787"/>
      <c r="V17" s="787"/>
      <c r="W17" s="787"/>
      <c r="X17" s="787"/>
      <c r="Y17" s="787"/>
      <c r="Z17" s="787"/>
      <c r="AA17" s="787"/>
      <c r="AB17" s="787"/>
      <c r="AC17" s="788"/>
      <c r="AD17" s="787"/>
      <c r="AE17" s="787"/>
      <c r="AF17" s="787"/>
      <c r="AG17" s="787"/>
      <c r="AH17" s="817"/>
      <c r="AI17" s="816"/>
      <c r="AJ17" s="798"/>
      <c r="AK17" s="798"/>
      <c r="AL17" s="798"/>
    </row>
    <row r="18" spans="2:38" x14ac:dyDescent="0.25">
      <c r="B18" s="451" t="s">
        <v>505</v>
      </c>
      <c r="C18" s="451" t="s">
        <v>506</v>
      </c>
      <c r="D18" s="451" t="s">
        <v>507</v>
      </c>
      <c r="E18" s="452" t="s">
        <v>508</v>
      </c>
      <c r="F18" s="451" t="s">
        <v>509</v>
      </c>
      <c r="G18" s="451" t="s">
        <v>510</v>
      </c>
      <c r="H18" s="451" t="s">
        <v>511</v>
      </c>
      <c r="I18" s="453" t="s">
        <v>512</v>
      </c>
      <c r="J18" s="453" t="s">
        <v>513</v>
      </c>
      <c r="K18" s="453" t="s">
        <v>514</v>
      </c>
      <c r="L18" s="453" t="s">
        <v>515</v>
      </c>
      <c r="M18" s="451" t="s">
        <v>516</v>
      </c>
      <c r="N18" s="451" t="s">
        <v>517</v>
      </c>
      <c r="O18" s="451" t="s">
        <v>518</v>
      </c>
      <c r="P18" s="451" t="s">
        <v>519</v>
      </c>
      <c r="Q18" s="451" t="s">
        <v>520</v>
      </c>
      <c r="R18" s="451" t="s">
        <v>521</v>
      </c>
      <c r="S18" s="451" t="s">
        <v>522</v>
      </c>
      <c r="T18" s="451" t="s">
        <v>523</v>
      </c>
      <c r="U18" s="451" t="s">
        <v>524</v>
      </c>
      <c r="V18" s="451" t="s">
        <v>525</v>
      </c>
      <c r="W18" s="451" t="s">
        <v>526</v>
      </c>
      <c r="X18" s="451" t="s">
        <v>527</v>
      </c>
      <c r="Y18" s="451" t="s">
        <v>528</v>
      </c>
      <c r="Z18" s="451" t="s">
        <v>529</v>
      </c>
      <c r="AA18" s="451" t="s">
        <v>530</v>
      </c>
      <c r="AB18" s="451" t="s">
        <v>531</v>
      </c>
      <c r="AC18" s="451" t="s">
        <v>532</v>
      </c>
      <c r="AD18" s="451" t="s">
        <v>533</v>
      </c>
      <c r="AE18" s="451" t="s">
        <v>534</v>
      </c>
      <c r="AF18" s="451" t="s">
        <v>535</v>
      </c>
      <c r="AG18" s="451" t="s">
        <v>536</v>
      </c>
      <c r="AH18" s="451" t="s">
        <v>537</v>
      </c>
      <c r="AI18" s="451" t="s">
        <v>538</v>
      </c>
      <c r="AJ18" s="451" t="s">
        <v>539</v>
      </c>
      <c r="AK18" s="451" t="s">
        <v>540</v>
      </c>
      <c r="AL18" s="451" t="s">
        <v>541</v>
      </c>
    </row>
    <row r="19" spans="2:38" s="457" customFormat="1" x14ac:dyDescent="0.25">
      <c r="B19" s="468">
        <f>+'F1948'!B25</f>
        <v>44124</v>
      </c>
      <c r="C19" s="454"/>
      <c r="D19" s="469" t="str">
        <f>+'F1948'!C25</f>
        <v>18.000.000-0</v>
      </c>
      <c r="E19" s="454"/>
      <c r="F19" s="469">
        <f>+'Datos para DJ 1948'!F4</f>
        <v>7000000</v>
      </c>
      <c r="G19" s="470">
        <f>+'Datos para DJ 1948'!C11</f>
        <v>1.0049999999999999</v>
      </c>
      <c r="H19" s="469">
        <f>+'Datos para DJ 1948'!F11</f>
        <v>7035000</v>
      </c>
      <c r="I19" s="471">
        <f>+'F1948'!F25</f>
        <v>4522500</v>
      </c>
      <c r="J19" s="455"/>
      <c r="K19" s="455"/>
      <c r="L19" s="455"/>
      <c r="M19" s="471">
        <f>+'F1948'!J25</f>
        <v>2512500</v>
      </c>
      <c r="N19" s="456"/>
      <c r="O19" s="456"/>
      <c r="P19" s="456"/>
      <c r="Q19" s="456"/>
      <c r="R19" s="456"/>
      <c r="S19" s="456"/>
      <c r="T19" s="471">
        <f>+'F1948'!Q25</f>
        <v>0</v>
      </c>
      <c r="U19" s="454"/>
      <c r="V19" s="471"/>
      <c r="W19" s="471">
        <f>+'F1948'!T25</f>
        <v>0</v>
      </c>
      <c r="X19" s="471">
        <f>+'F1948'!U25</f>
        <v>502500</v>
      </c>
      <c r="Y19" s="454"/>
      <c r="Z19" s="454"/>
      <c r="AA19" s="454"/>
      <c r="AB19" s="454"/>
      <c r="AC19" s="454"/>
      <c r="AD19" s="454"/>
      <c r="AE19" s="454"/>
      <c r="AF19" s="454"/>
      <c r="AG19" s="454"/>
      <c r="AH19" s="454"/>
      <c r="AI19" s="454"/>
      <c r="AJ19" s="454"/>
      <c r="AK19" s="454"/>
      <c r="AL19" s="454"/>
    </row>
    <row r="20" spans="2:38" x14ac:dyDescent="0.25">
      <c r="B20" s="458" t="s">
        <v>97</v>
      </c>
      <c r="C20" s="459"/>
      <c r="D20" s="459"/>
      <c r="E20" s="459"/>
      <c r="F20" s="472">
        <f>SUM(F19)</f>
        <v>7000000</v>
      </c>
      <c r="G20" s="460" t="s">
        <v>542</v>
      </c>
      <c r="H20" s="472">
        <f>SUM(H19)</f>
        <v>7035000</v>
      </c>
      <c r="I20" s="472">
        <f>SUM(I19)</f>
        <v>4522500</v>
      </c>
      <c r="J20" s="460"/>
      <c r="K20" s="460"/>
      <c r="L20" s="460"/>
      <c r="M20" s="472">
        <f>SUM(M19)</f>
        <v>2512500</v>
      </c>
      <c r="N20" s="460" t="s">
        <v>542</v>
      </c>
      <c r="O20" s="460" t="s">
        <v>542</v>
      </c>
      <c r="P20" s="460" t="s">
        <v>542</v>
      </c>
      <c r="Q20" s="460" t="s">
        <v>542</v>
      </c>
      <c r="R20" s="460" t="s">
        <v>542</v>
      </c>
      <c r="S20" s="460" t="s">
        <v>542</v>
      </c>
      <c r="T20" s="460" t="s">
        <v>542</v>
      </c>
      <c r="U20" s="460" t="s">
        <v>542</v>
      </c>
      <c r="V20" s="460" t="s">
        <v>542</v>
      </c>
      <c r="W20" s="472">
        <f>SUM(W19)</f>
        <v>0</v>
      </c>
      <c r="X20" s="460" t="s">
        <v>542</v>
      </c>
      <c r="Y20" s="460" t="s">
        <v>542</v>
      </c>
      <c r="Z20" s="460" t="s">
        <v>542</v>
      </c>
      <c r="AA20" s="460" t="s">
        <v>542</v>
      </c>
      <c r="AB20" s="460" t="s">
        <v>542</v>
      </c>
      <c r="AC20" s="460" t="s">
        <v>542</v>
      </c>
      <c r="AD20" s="460" t="s">
        <v>542</v>
      </c>
      <c r="AE20" s="460" t="s">
        <v>542</v>
      </c>
      <c r="AF20" s="460" t="s">
        <v>542</v>
      </c>
      <c r="AG20" s="460" t="s">
        <v>542</v>
      </c>
      <c r="AH20" s="460" t="s">
        <v>542</v>
      </c>
      <c r="AI20" s="460" t="s">
        <v>542</v>
      </c>
      <c r="AJ20" s="460" t="s">
        <v>542</v>
      </c>
      <c r="AK20" s="460" t="s">
        <v>542</v>
      </c>
      <c r="AL20" s="460" t="s">
        <v>542</v>
      </c>
    </row>
    <row r="21" spans="2:38" x14ac:dyDescent="0.25">
      <c r="AJ21" s="457"/>
      <c r="AK21" s="457"/>
      <c r="AL21" s="457"/>
    </row>
    <row r="22" spans="2:38" ht="15" customHeight="1" x14ac:dyDescent="0.25"/>
    <row r="23" spans="2:38" x14ac:dyDescent="0.25">
      <c r="B23" s="461" t="s">
        <v>543</v>
      </c>
      <c r="C23" s="462"/>
      <c r="D23" s="462"/>
      <c r="E23" s="462"/>
      <c r="F23" s="462"/>
      <c r="G23" s="462"/>
      <c r="H23" s="462"/>
      <c r="I23" s="462"/>
      <c r="J23" s="462"/>
      <c r="K23" s="462"/>
      <c r="L23" s="462"/>
      <c r="M23" s="462"/>
      <c r="N23" s="462"/>
      <c r="O23" s="462"/>
      <c r="P23" s="462"/>
      <c r="Q23" s="462"/>
      <c r="R23" s="462"/>
      <c r="S23" s="462"/>
      <c r="T23" s="462"/>
      <c r="U23" s="462"/>
    </row>
    <row r="24" spans="2:38" ht="15" customHeight="1" x14ac:dyDescent="0.25">
      <c r="M24" s="462"/>
      <c r="N24" s="462"/>
      <c r="O24" s="462"/>
      <c r="P24" s="462"/>
      <c r="Q24" s="462"/>
      <c r="R24" s="462"/>
      <c r="S24" s="462"/>
      <c r="T24" s="462"/>
      <c r="U24" s="462"/>
    </row>
    <row r="25" spans="2:38" x14ac:dyDescent="0.25">
      <c r="B25" s="440" t="s">
        <v>544</v>
      </c>
      <c r="C25" s="448"/>
      <c r="D25" s="448"/>
      <c r="E25" s="448"/>
      <c r="F25" s="448"/>
      <c r="M25" s="462"/>
      <c r="N25" s="462"/>
      <c r="O25" s="462"/>
      <c r="P25" s="462"/>
      <c r="Q25" s="462"/>
      <c r="R25" s="462"/>
      <c r="S25" s="462"/>
      <c r="T25" s="462"/>
      <c r="U25" s="462"/>
    </row>
    <row r="26" spans="2:38" x14ac:dyDescent="0.25">
      <c r="C26" s="448"/>
      <c r="D26" s="448"/>
      <c r="E26" s="448"/>
      <c r="F26" s="448"/>
    </row>
    <row r="27" spans="2:38" x14ac:dyDescent="0.25">
      <c r="C27" s="448"/>
      <c r="D27" s="448"/>
      <c r="E27" s="448"/>
      <c r="F27" s="448"/>
    </row>
    <row r="28" spans="2:38" x14ac:dyDescent="0.25">
      <c r="D28" s="448"/>
      <c r="E28" s="448"/>
      <c r="K28" s="463"/>
      <c r="L28" s="463"/>
      <c r="M28" s="463"/>
      <c r="N28" s="463"/>
      <c r="O28" s="463"/>
      <c r="U28" s="463"/>
      <c r="V28" s="463"/>
      <c r="W28" s="463"/>
      <c r="X28" s="463"/>
      <c r="Y28" s="463"/>
      <c r="Z28" s="463"/>
      <c r="AA28" s="463"/>
      <c r="AB28" s="463"/>
      <c r="AC28" s="463"/>
      <c r="AD28" s="463"/>
      <c r="AE28" s="463"/>
      <c r="AF28" s="463"/>
      <c r="AG28" s="463"/>
      <c r="AH28" s="463"/>
    </row>
    <row r="29" spans="2:38" ht="15" customHeight="1" x14ac:dyDescent="0.25">
      <c r="D29" s="448"/>
      <c r="E29" s="448"/>
    </row>
    <row r="30" spans="2:38" x14ac:dyDescent="0.25">
      <c r="B30" s="464"/>
      <c r="C30" s="464"/>
      <c r="D30" s="448"/>
      <c r="E30" s="448"/>
      <c r="F30" s="464"/>
      <c r="G30" s="464"/>
      <c r="H30" s="464"/>
      <c r="I30" s="464"/>
      <c r="J30" s="464"/>
      <c r="K30" s="464"/>
      <c r="M30" s="464"/>
      <c r="N30" s="465"/>
      <c r="O30" s="466"/>
      <c r="P30" s="465" t="s">
        <v>545</v>
      </c>
      <c r="Q30" s="465"/>
      <c r="R30" s="465"/>
      <c r="S30" s="465"/>
      <c r="T30" s="465"/>
      <c r="U30" s="467"/>
      <c r="V30" s="467"/>
      <c r="W30" s="467"/>
    </row>
    <row r="31" spans="2:38" x14ac:dyDescent="0.25">
      <c r="B31" s="464"/>
      <c r="C31" s="464"/>
      <c r="D31" s="448"/>
      <c r="E31" s="448"/>
      <c r="F31" s="464"/>
      <c r="G31" s="464"/>
      <c r="H31" s="464"/>
      <c r="I31" s="464"/>
      <c r="J31" s="464"/>
      <c r="K31" s="464"/>
      <c r="L31" s="464"/>
      <c r="M31" s="464"/>
      <c r="N31" s="464"/>
      <c r="O31" s="464"/>
      <c r="P31" s="464"/>
      <c r="Q31" s="464"/>
      <c r="R31" s="464"/>
      <c r="S31" s="464"/>
      <c r="T31" s="464"/>
    </row>
    <row r="32" spans="2:38" x14ac:dyDescent="0.25">
      <c r="B32" s="464"/>
      <c r="C32" s="464"/>
      <c r="D32" s="448"/>
      <c r="E32" s="448"/>
      <c r="F32" s="464"/>
      <c r="G32" s="464"/>
      <c r="H32" s="464"/>
      <c r="I32" s="464"/>
      <c r="J32" s="464"/>
      <c r="K32" s="464"/>
      <c r="L32" s="464"/>
      <c r="M32" s="464"/>
      <c r="N32" s="464"/>
      <c r="O32" s="464"/>
      <c r="P32" s="464"/>
      <c r="Q32" s="464"/>
      <c r="R32" s="464"/>
      <c r="S32" s="464"/>
      <c r="T32" s="464"/>
    </row>
    <row r="33" spans="4:20" x14ac:dyDescent="0.25">
      <c r="D33" s="448"/>
      <c r="E33" s="448"/>
      <c r="M33" s="464"/>
      <c r="N33" s="464"/>
      <c r="O33" s="464"/>
      <c r="P33" s="464"/>
      <c r="Q33" s="464"/>
      <c r="R33" s="464"/>
      <c r="S33" s="464"/>
      <c r="T33" s="464"/>
    </row>
    <row r="34" spans="4:20" ht="15" customHeight="1" x14ac:dyDescent="0.25">
      <c r="D34" s="448"/>
      <c r="E34" s="448"/>
      <c r="M34" s="464"/>
      <c r="N34" s="464"/>
      <c r="O34" s="464"/>
      <c r="P34" s="464"/>
      <c r="Q34" s="464"/>
      <c r="R34" s="464"/>
      <c r="S34" s="464"/>
      <c r="T34" s="464"/>
    </row>
    <row r="35" spans="4:20" x14ac:dyDescent="0.25">
      <c r="D35" s="448"/>
      <c r="E35" s="448"/>
      <c r="M35" s="464"/>
      <c r="N35" s="464"/>
      <c r="O35" s="464"/>
      <c r="P35" s="464"/>
      <c r="Q35" s="464"/>
      <c r="R35" s="464"/>
      <c r="S35" s="464"/>
      <c r="T35" s="464"/>
    </row>
    <row r="36" spans="4:20" x14ac:dyDescent="0.25">
      <c r="D36" s="448"/>
      <c r="E36" s="448"/>
      <c r="M36" s="464"/>
      <c r="N36" s="464"/>
      <c r="O36" s="464"/>
      <c r="P36" s="464"/>
      <c r="Q36" s="464"/>
      <c r="R36" s="464"/>
      <c r="S36" s="464"/>
      <c r="T36" s="464"/>
    </row>
    <row r="37" spans="4:20" x14ac:dyDescent="0.25">
      <c r="M37" s="464"/>
      <c r="N37" s="464"/>
      <c r="O37" s="464"/>
      <c r="P37" s="464"/>
      <c r="Q37" s="464"/>
      <c r="R37" s="464"/>
      <c r="S37" s="464"/>
      <c r="T37" s="464"/>
    </row>
    <row r="38" spans="4:20" x14ac:dyDescent="0.25">
      <c r="M38" s="464"/>
      <c r="N38" s="464"/>
      <c r="O38" s="464"/>
      <c r="P38" s="464"/>
      <c r="Q38" s="464"/>
      <c r="R38" s="464"/>
      <c r="S38" s="464"/>
      <c r="T38" s="464"/>
    </row>
  </sheetData>
  <mergeCells count="50">
    <mergeCell ref="B10:R10"/>
    <mergeCell ref="B12:B17"/>
    <mergeCell ref="C12:C17"/>
    <mergeCell ref="D12:D17"/>
    <mergeCell ref="E12:E17"/>
    <mergeCell ref="F12:F17"/>
    <mergeCell ref="G12:G17"/>
    <mergeCell ref="H12:P12"/>
    <mergeCell ref="M14:Q14"/>
    <mergeCell ref="R14:S14"/>
    <mergeCell ref="R15:R17"/>
    <mergeCell ref="S15:S17"/>
    <mergeCell ref="U12:AH12"/>
    <mergeCell ref="AJ12:AJ17"/>
    <mergeCell ref="AK12:AK17"/>
    <mergeCell ref="AL12:AL17"/>
    <mergeCell ref="H13:H17"/>
    <mergeCell ref="I13:L16"/>
    <mergeCell ref="M13:T13"/>
    <mergeCell ref="U13:AC13"/>
    <mergeCell ref="AD13:AH13"/>
    <mergeCell ref="AI13:AI17"/>
    <mergeCell ref="AH14:AH17"/>
    <mergeCell ref="M15:M17"/>
    <mergeCell ref="N15:N17"/>
    <mergeCell ref="O15:O17"/>
    <mergeCell ref="P15:P17"/>
    <mergeCell ref="Q15:Q17"/>
    <mergeCell ref="U15:V15"/>
    <mergeCell ref="W15:X15"/>
    <mergeCell ref="T14:T17"/>
    <mergeCell ref="U14:Z14"/>
    <mergeCell ref="AA14:AB14"/>
    <mergeCell ref="U16:U17"/>
    <mergeCell ref="V16:V17"/>
    <mergeCell ref="W16:W17"/>
    <mergeCell ref="X16:X17"/>
    <mergeCell ref="Y16:Y17"/>
    <mergeCell ref="Z16:Z17"/>
    <mergeCell ref="AA16:AA17"/>
    <mergeCell ref="AB16:AB17"/>
    <mergeCell ref="Y15:Z15"/>
    <mergeCell ref="AA15:AB15"/>
    <mergeCell ref="AC14:AC17"/>
    <mergeCell ref="AD14:AE14"/>
    <mergeCell ref="AF14:AG14"/>
    <mergeCell ref="AF15:AF17"/>
    <mergeCell ref="AG15:AG17"/>
    <mergeCell ref="AD15:AD17"/>
    <mergeCell ref="AE15:AE17"/>
  </mergeCells>
  <pageMargins left="0.42" right="0.70866141732283472" top="0.43307086614173229" bottom="0.39370078740157483" header="0.31496062992125984" footer="0.31496062992125984"/>
  <pageSetup paperSize="5"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Q74"/>
  <sheetViews>
    <sheetView showGridLines="0" topLeftCell="C25" zoomScale="130" zoomScaleNormal="130" workbookViewId="0">
      <selection activeCell="I29" sqref="I29"/>
    </sheetView>
  </sheetViews>
  <sheetFormatPr baseColWidth="10" defaultColWidth="9.140625" defaultRowHeight="15" x14ac:dyDescent="0.25"/>
  <cols>
    <col min="1" max="1" width="1.85546875" style="25" customWidth="1"/>
    <col min="2" max="2" width="4" style="25" bestFit="1" customWidth="1"/>
    <col min="3" max="3" width="10.42578125" style="25" customWidth="1"/>
    <col min="4" max="4" width="11.140625" style="25" bestFit="1" customWidth="1"/>
    <col min="5" max="5" width="12.42578125" style="25" customWidth="1"/>
    <col min="6" max="6" width="10.42578125" style="25" bestFit="1" customWidth="1"/>
    <col min="7" max="7" width="10.85546875" style="25" bestFit="1" customWidth="1"/>
    <col min="8" max="8" width="10.42578125" style="25" bestFit="1" customWidth="1"/>
    <col min="9" max="9" width="10.7109375" style="25" customWidth="1"/>
    <col min="10" max="10" width="3.140625" style="25" customWidth="1"/>
    <col min="11" max="11" width="9.140625" style="25"/>
    <col min="12" max="12" width="11" style="25" customWidth="1"/>
    <col min="13" max="13" width="11.42578125" style="25" bestFit="1" customWidth="1"/>
    <col min="14" max="14" width="11.85546875" style="25" customWidth="1"/>
    <col min="15" max="15" width="12.140625" style="25" customWidth="1"/>
    <col min="16" max="16" width="10" style="25" bestFit="1" customWidth="1"/>
    <col min="17" max="17" width="10.42578125" style="25" customWidth="1"/>
    <col min="18" max="16384" width="9.140625" style="25"/>
  </cols>
  <sheetData>
    <row r="2" spans="2:15" ht="18.75" x14ac:dyDescent="0.3">
      <c r="C2" s="26" t="s">
        <v>36</v>
      </c>
      <c r="K2" s="26" t="s">
        <v>37</v>
      </c>
    </row>
    <row r="3" spans="2:15" x14ac:dyDescent="0.25">
      <c r="C3" s="27" t="s">
        <v>38</v>
      </c>
      <c r="D3" s="28" t="s">
        <v>39</v>
      </c>
      <c r="E3" s="29"/>
      <c r="F3" s="29"/>
      <c r="G3" s="29"/>
      <c r="H3" s="30">
        <v>43600</v>
      </c>
      <c r="I3" s="31">
        <f>+Antecedentes!K14</f>
        <v>30000000</v>
      </c>
      <c r="K3" s="32" t="s">
        <v>40</v>
      </c>
      <c r="L3" s="29"/>
      <c r="M3" s="29"/>
      <c r="N3" s="29"/>
      <c r="O3" s="31">
        <f>+I3</f>
        <v>30000000</v>
      </c>
    </row>
    <row r="4" spans="2:15" x14ac:dyDescent="0.25">
      <c r="C4" s="33"/>
      <c r="D4" s="34" t="s">
        <v>100</v>
      </c>
      <c r="H4" s="35"/>
      <c r="I4" s="36">
        <v>0.02</v>
      </c>
      <c r="K4" s="37" t="s">
        <v>101</v>
      </c>
      <c r="O4" s="38">
        <v>101.54</v>
      </c>
    </row>
    <row r="5" spans="2:15" x14ac:dyDescent="0.25">
      <c r="C5" s="33"/>
      <c r="D5" s="34" t="s">
        <v>41</v>
      </c>
      <c r="H5" s="35"/>
      <c r="I5" s="39">
        <f>ROUND(+I3*I4,0)</f>
        <v>600000</v>
      </c>
      <c r="K5" s="37" t="s">
        <v>102</v>
      </c>
      <c r="O5" s="38">
        <v>103.55</v>
      </c>
    </row>
    <row r="6" spans="2:15" x14ac:dyDescent="0.25">
      <c r="C6" s="40" t="s">
        <v>42</v>
      </c>
      <c r="D6" s="41" t="s">
        <v>43</v>
      </c>
      <c r="E6" s="42"/>
      <c r="F6" s="43"/>
      <c r="G6" s="43"/>
      <c r="H6" s="44">
        <v>43830</v>
      </c>
      <c r="I6" s="45">
        <f>+I5+I3</f>
        <v>30600000</v>
      </c>
      <c r="K6" s="37" t="s">
        <v>9</v>
      </c>
      <c r="O6" s="46">
        <f>ROUND(+O5/O4,3)</f>
        <v>1.02</v>
      </c>
    </row>
    <row r="7" spans="2:15" x14ac:dyDescent="0.25">
      <c r="B7" s="35"/>
      <c r="K7" s="47" t="s">
        <v>44</v>
      </c>
      <c r="L7" s="42"/>
      <c r="M7" s="43"/>
      <c r="N7" s="43"/>
      <c r="O7" s="48">
        <f>+O3*O6</f>
        <v>30600000</v>
      </c>
    </row>
    <row r="8" spans="2:15" ht="18.75" x14ac:dyDescent="0.3">
      <c r="B8" s="35"/>
      <c r="J8" s="34"/>
      <c r="K8" s="26" t="s">
        <v>45</v>
      </c>
      <c r="L8" s="49"/>
      <c r="M8" s="50"/>
    </row>
    <row r="9" spans="2:15" x14ac:dyDescent="0.25">
      <c r="C9" s="51" t="s">
        <v>46</v>
      </c>
      <c r="D9" s="52"/>
      <c r="E9" s="53"/>
      <c r="F9" s="54" t="s">
        <v>47</v>
      </c>
      <c r="G9" s="54" t="s">
        <v>48</v>
      </c>
      <c r="H9" s="54" t="s">
        <v>49</v>
      </c>
      <c r="I9" s="54" t="s">
        <v>50</v>
      </c>
      <c r="K9" s="32" t="s">
        <v>40</v>
      </c>
      <c r="L9" s="29"/>
      <c r="M9" s="29"/>
      <c r="N9" s="29"/>
      <c r="O9" s="31">
        <v>20000000</v>
      </c>
    </row>
    <row r="10" spans="2:15" x14ac:dyDescent="0.25">
      <c r="C10" s="32" t="s">
        <v>116</v>
      </c>
      <c r="D10" s="29"/>
      <c r="E10" s="29"/>
      <c r="F10" s="55">
        <f>+I3</f>
        <v>30000000</v>
      </c>
      <c r="G10" s="55">
        <f>-H11+G28</f>
        <v>67500000</v>
      </c>
      <c r="H10" s="55">
        <f>-G13-H16+H25+H26-G15-G14</f>
        <v>-84400000</v>
      </c>
      <c r="I10" s="56">
        <f>SUM(F10:H10)</f>
        <v>13100000</v>
      </c>
      <c r="K10" s="37" t="s">
        <v>99</v>
      </c>
      <c r="O10" s="38">
        <v>100.79</v>
      </c>
    </row>
    <row r="11" spans="2:15" x14ac:dyDescent="0.25">
      <c r="C11" s="37" t="s">
        <v>51</v>
      </c>
      <c r="D11" s="34"/>
      <c r="E11" s="34"/>
      <c r="F11" s="50"/>
      <c r="G11" s="50">
        <f>+G23</f>
        <v>75500000</v>
      </c>
      <c r="H11" s="115">
        <f>-G11+8000000</f>
        <v>-67500000</v>
      </c>
      <c r="I11" s="57">
        <f t="shared" ref="I11" si="0">SUM(F11:H11)</f>
        <v>8000000</v>
      </c>
      <c r="K11" s="37" t="s">
        <v>52</v>
      </c>
      <c r="O11" s="58">
        <v>105.7</v>
      </c>
    </row>
    <row r="12" spans="2:15" x14ac:dyDescent="0.25">
      <c r="C12" s="37" t="s">
        <v>53</v>
      </c>
      <c r="D12" s="34"/>
      <c r="E12" s="34"/>
      <c r="F12" s="50"/>
      <c r="G12" s="115">
        <v>50000000</v>
      </c>
      <c r="H12" s="50">
        <f>+H24</f>
        <v>-37500000</v>
      </c>
      <c r="I12" s="57">
        <f>SUM(F12:H12)</f>
        <v>12500000</v>
      </c>
      <c r="K12" s="37" t="s">
        <v>9</v>
      </c>
      <c r="O12" s="46">
        <f>ROUND(+O11/O10,3)</f>
        <v>1.0489999999999999</v>
      </c>
    </row>
    <row r="13" spans="2:15" x14ac:dyDescent="0.25">
      <c r="C13" s="37" t="s">
        <v>54</v>
      </c>
      <c r="D13" s="34"/>
      <c r="E13" s="34"/>
      <c r="F13" s="50"/>
      <c r="G13" s="115">
        <v>12000000</v>
      </c>
      <c r="H13" s="50">
        <f>-G13/12*6</f>
        <v>-6000000</v>
      </c>
      <c r="I13" s="57">
        <f>SUM(F13:H13)</f>
        <v>6000000</v>
      </c>
      <c r="K13" s="47" t="s">
        <v>44</v>
      </c>
      <c r="L13" s="42"/>
      <c r="M13" s="43"/>
      <c r="N13" s="43"/>
      <c r="O13" s="48">
        <f>+O9*O12</f>
        <v>20980000</v>
      </c>
    </row>
    <row r="14" spans="2:15" x14ac:dyDescent="0.25">
      <c r="C14" s="37" t="s">
        <v>106</v>
      </c>
      <c r="D14" s="34"/>
      <c r="E14" s="34"/>
      <c r="F14" s="50"/>
      <c r="G14" s="115">
        <v>5000000</v>
      </c>
      <c r="H14" s="50"/>
      <c r="I14" s="57">
        <f t="shared" ref="I14:I15" si="1">SUM(F14:H14)</f>
        <v>5000000</v>
      </c>
      <c r="K14" s="121"/>
      <c r="L14" s="117"/>
      <c r="M14" s="119"/>
      <c r="N14" s="119"/>
      <c r="O14" s="122"/>
    </row>
    <row r="15" spans="2:15" x14ac:dyDescent="0.25">
      <c r="C15" s="37" t="s">
        <v>105</v>
      </c>
      <c r="G15" s="50">
        <v>8000000</v>
      </c>
      <c r="I15" s="57">
        <f t="shared" si="1"/>
        <v>8000000</v>
      </c>
    </row>
    <row r="16" spans="2:15" x14ac:dyDescent="0.25">
      <c r="C16" s="37" t="s">
        <v>55</v>
      </c>
      <c r="D16" s="34"/>
      <c r="E16" s="34"/>
      <c r="F16" s="50"/>
      <c r="G16" s="50">
        <f>-G12</f>
        <v>-50000000</v>
      </c>
      <c r="H16" s="115">
        <f>-G16-2000000</f>
        <v>48000000</v>
      </c>
      <c r="I16" s="57">
        <f>SUM(F16:H16)</f>
        <v>-2000000</v>
      </c>
    </row>
    <row r="17" spans="2:15" ht="15.75" thickBot="1" x14ac:dyDescent="0.3">
      <c r="C17" s="37"/>
      <c r="D17" s="34"/>
      <c r="E17" s="34"/>
      <c r="F17" s="50"/>
      <c r="G17" s="50"/>
      <c r="H17" s="50"/>
      <c r="I17" s="59">
        <f>SUM(I10:I16)</f>
        <v>50600000</v>
      </c>
    </row>
    <row r="18" spans="2:15" ht="15.75" thickTop="1" x14ac:dyDescent="0.25">
      <c r="C18" s="37" t="s">
        <v>56</v>
      </c>
      <c r="F18" s="50">
        <f>+F10</f>
        <v>30000000</v>
      </c>
      <c r="G18" s="50"/>
      <c r="H18" s="50"/>
      <c r="I18" s="57">
        <f>SUM(F18:H18)</f>
        <v>30000000</v>
      </c>
    </row>
    <row r="19" spans="2:15" x14ac:dyDescent="0.25">
      <c r="C19" s="37" t="s">
        <v>57</v>
      </c>
      <c r="F19" s="50"/>
      <c r="G19" s="50"/>
      <c r="H19" s="50"/>
      <c r="I19" s="57">
        <f>+I29</f>
        <v>20600000</v>
      </c>
    </row>
    <row r="20" spans="2:15" x14ac:dyDescent="0.25">
      <c r="C20" s="60"/>
      <c r="D20" s="43"/>
      <c r="E20" s="43"/>
      <c r="F20" s="61"/>
      <c r="G20" s="61"/>
      <c r="H20" s="61"/>
      <c r="I20" s="62">
        <f>SUM(I18:I19)</f>
        <v>50600000</v>
      </c>
    </row>
    <row r="21" spans="2:15" x14ac:dyDescent="0.25">
      <c r="C21" s="34"/>
      <c r="F21" s="50"/>
      <c r="G21" s="50"/>
      <c r="H21" s="50"/>
      <c r="I21" s="63">
        <f>+I20-I17</f>
        <v>0</v>
      </c>
    </row>
    <row r="22" spans="2:15" x14ac:dyDescent="0.25">
      <c r="C22" s="64" t="s">
        <v>58</v>
      </c>
      <c r="F22" s="50"/>
      <c r="G22" s="50"/>
      <c r="H22" s="50"/>
      <c r="I22" s="50"/>
      <c r="K22" s="64" t="s">
        <v>59</v>
      </c>
    </row>
    <row r="23" spans="2:15" x14ac:dyDescent="0.25">
      <c r="C23" s="32" t="s">
        <v>60</v>
      </c>
      <c r="D23" s="28"/>
      <c r="E23" s="28"/>
      <c r="F23" s="55"/>
      <c r="G23" s="114">
        <v>75500000</v>
      </c>
      <c r="H23" s="55"/>
      <c r="I23" s="56">
        <f t="shared" ref="I23:I28" si="2">SUM(F23:H23)</f>
        <v>75500000</v>
      </c>
      <c r="K23" s="32" t="str">
        <f>+C29</f>
        <v>Resultado del Ejercicio</v>
      </c>
      <c r="L23" s="29"/>
      <c r="M23" s="29"/>
      <c r="N23" s="29"/>
      <c r="O23" s="56">
        <f>+I29</f>
        <v>20600000</v>
      </c>
    </row>
    <row r="24" spans="2:15" x14ac:dyDescent="0.25">
      <c r="B24" s="65">
        <v>0.75</v>
      </c>
      <c r="C24" s="37" t="s">
        <v>61</v>
      </c>
      <c r="D24" s="34"/>
      <c r="E24" s="34"/>
      <c r="F24" s="50"/>
      <c r="G24" s="50"/>
      <c r="H24" s="50">
        <f>-G12*B24</f>
        <v>-37500000</v>
      </c>
      <c r="I24" s="57">
        <f t="shared" si="2"/>
        <v>-37500000</v>
      </c>
      <c r="K24" s="37" t="s">
        <v>62</v>
      </c>
      <c r="O24" s="66"/>
    </row>
    <row r="25" spans="2:15" x14ac:dyDescent="0.25">
      <c r="C25" s="37" t="s">
        <v>63</v>
      </c>
      <c r="D25" s="34"/>
      <c r="E25" s="34"/>
      <c r="F25" s="50"/>
      <c r="G25" s="50"/>
      <c r="H25" s="115">
        <f>-1940000-300000+-600000</f>
        <v>-2840000</v>
      </c>
      <c r="I25" s="57">
        <f t="shared" si="2"/>
        <v>-2840000</v>
      </c>
      <c r="K25" s="37" t="s">
        <v>65</v>
      </c>
      <c r="O25" s="66"/>
    </row>
    <row r="26" spans="2:15" x14ac:dyDescent="0.25">
      <c r="C26" s="37" t="s">
        <v>64</v>
      </c>
      <c r="D26" s="34"/>
      <c r="E26" s="34"/>
      <c r="F26" s="34"/>
      <c r="G26" s="34"/>
      <c r="H26" s="115">
        <f>-8800000+440000-200000</f>
        <v>-8560000</v>
      </c>
      <c r="I26" s="57">
        <f t="shared" si="2"/>
        <v>-8560000</v>
      </c>
      <c r="K26" s="37" t="s">
        <v>117</v>
      </c>
      <c r="O26" s="57"/>
    </row>
    <row r="27" spans="2:15" x14ac:dyDescent="0.25">
      <c r="C27" s="37" t="s">
        <v>66</v>
      </c>
      <c r="D27" s="34"/>
      <c r="E27" s="34"/>
      <c r="F27" s="34"/>
      <c r="G27" s="34"/>
      <c r="H27" s="115">
        <f>+H13</f>
        <v>-6000000</v>
      </c>
      <c r="I27" s="57">
        <f t="shared" si="2"/>
        <v>-6000000</v>
      </c>
      <c r="K27" s="37" t="s">
        <v>67</v>
      </c>
      <c r="M27" s="50">
        <f>+I3</f>
        <v>30000000</v>
      </c>
      <c r="N27" s="67">
        <f>+I4</f>
        <v>0.02</v>
      </c>
      <c r="O27" s="57">
        <f>ROUND(-+M27*N27,0)</f>
        <v>-600000</v>
      </c>
    </row>
    <row r="28" spans="2:15" x14ac:dyDescent="0.25">
      <c r="C28" s="37" t="s">
        <v>117</v>
      </c>
      <c r="D28" s="34"/>
      <c r="E28" s="34"/>
      <c r="F28" s="34"/>
      <c r="G28" s="115">
        <v>0</v>
      </c>
      <c r="H28" s="34"/>
      <c r="I28" s="57">
        <f t="shared" si="2"/>
        <v>0</v>
      </c>
      <c r="K28" s="70" t="s">
        <v>68</v>
      </c>
      <c r="L28" s="52"/>
      <c r="M28" s="52"/>
      <c r="N28" s="52"/>
      <c r="O28" s="71">
        <f>SUM(O23:O27)</f>
        <v>20000000</v>
      </c>
    </row>
    <row r="29" spans="2:15" x14ac:dyDescent="0.25">
      <c r="C29" s="68" t="s">
        <v>57</v>
      </c>
      <c r="D29" s="42"/>
      <c r="E29" s="42"/>
      <c r="F29" s="42"/>
      <c r="G29" s="42"/>
      <c r="H29" s="42"/>
      <c r="I29" s="69">
        <f>SUM(I23:I28)</f>
        <v>20600000</v>
      </c>
      <c r="K29" s="37" t="s">
        <v>104</v>
      </c>
      <c r="O29" s="66"/>
    </row>
    <row r="30" spans="2:15" x14ac:dyDescent="0.25">
      <c r="C30" s="116"/>
      <c r="D30" s="117"/>
      <c r="E30" s="117"/>
      <c r="F30" s="117"/>
      <c r="G30" s="117"/>
      <c r="H30" s="117"/>
      <c r="I30" s="118"/>
      <c r="K30" s="37" t="s">
        <v>113</v>
      </c>
      <c r="L30" s="50">
        <f>+O28</f>
        <v>20000000</v>
      </c>
      <c r="M30" s="50">
        <f>-G15</f>
        <v>-8000000</v>
      </c>
      <c r="N30" s="50">
        <f>+O28+M30</f>
        <v>12000000</v>
      </c>
      <c r="O30" s="57">
        <f>+ROUND(-N30*50%,0)</f>
        <v>-6000000</v>
      </c>
    </row>
    <row r="31" spans="2:15" x14ac:dyDescent="0.25">
      <c r="B31" s="72" t="s">
        <v>34</v>
      </c>
      <c r="C31" s="64" t="s">
        <v>103</v>
      </c>
      <c r="D31" s="73"/>
      <c r="E31" s="73"/>
      <c r="F31" s="73"/>
      <c r="G31" s="74"/>
      <c r="H31" s="74"/>
      <c r="I31" s="75"/>
      <c r="K31" s="70" t="s">
        <v>68</v>
      </c>
      <c r="L31" s="52"/>
      <c r="M31" s="52"/>
      <c r="N31" s="52"/>
      <c r="O31" s="71">
        <f>SUM(O28:O30)</f>
        <v>14000000</v>
      </c>
    </row>
    <row r="32" spans="2:15" x14ac:dyDescent="0.25">
      <c r="B32" s="16"/>
      <c r="C32" s="77" t="s">
        <v>70</v>
      </c>
      <c r="D32" s="78"/>
      <c r="E32" s="78"/>
      <c r="F32" s="79"/>
      <c r="G32" s="79"/>
      <c r="H32" s="80"/>
      <c r="I32" s="81">
        <f>+SUM(H33:H38)</f>
        <v>44600000</v>
      </c>
      <c r="K32" s="70" t="s">
        <v>121</v>
      </c>
      <c r="L32" s="52"/>
      <c r="M32" s="52"/>
      <c r="N32" s="128">
        <v>0.25</v>
      </c>
      <c r="O32" s="71">
        <f>ROUND(+O31*N32,0)</f>
        <v>3500000</v>
      </c>
    </row>
    <row r="33" spans="2:17" x14ac:dyDescent="0.25">
      <c r="B33" s="16"/>
      <c r="C33" s="37" t="str">
        <f t="shared" ref="C33:C38" si="3">+C10</f>
        <v>Banco</v>
      </c>
      <c r="D33" s="35"/>
      <c r="E33" s="35"/>
      <c r="F33" s="82"/>
      <c r="G33" s="35"/>
      <c r="H33" s="50">
        <f>+I10</f>
        <v>13100000</v>
      </c>
      <c r="I33" s="83"/>
      <c r="K33" s="64" t="s">
        <v>69</v>
      </c>
      <c r="L33" s="119"/>
      <c r="M33" s="119"/>
      <c r="O33" s="120"/>
    </row>
    <row r="34" spans="2:17" x14ac:dyDescent="0.25">
      <c r="B34" s="16"/>
      <c r="C34" s="37" t="str">
        <f t="shared" si="3"/>
        <v>Clientes</v>
      </c>
      <c r="D34" s="35"/>
      <c r="E34" s="35"/>
      <c r="F34" s="85"/>
      <c r="G34" s="35"/>
      <c r="H34" s="50">
        <f>+I11</f>
        <v>8000000</v>
      </c>
      <c r="I34" s="83"/>
      <c r="K34" s="32" t="s">
        <v>71</v>
      </c>
      <c r="L34" s="28"/>
      <c r="M34" s="29"/>
      <c r="N34" s="29"/>
      <c r="O34" s="56">
        <f>+I41</f>
        <v>42600000</v>
      </c>
    </row>
    <row r="35" spans="2:17" x14ac:dyDescent="0.25">
      <c r="B35" s="16"/>
      <c r="C35" s="37" t="str">
        <f t="shared" si="3"/>
        <v>Existencias</v>
      </c>
      <c r="D35" s="35"/>
      <c r="E35" s="35"/>
      <c r="F35" s="82"/>
      <c r="G35" s="35"/>
      <c r="H35" s="50">
        <f>+I12</f>
        <v>12500000</v>
      </c>
      <c r="I35" s="83"/>
      <c r="K35" s="37" t="s">
        <v>110</v>
      </c>
      <c r="L35" s="34"/>
      <c r="M35" s="50"/>
      <c r="N35" s="84"/>
      <c r="O35" s="57">
        <f>+I15</f>
        <v>8000000</v>
      </c>
    </row>
    <row r="36" spans="2:17" x14ac:dyDescent="0.25">
      <c r="B36" s="16"/>
      <c r="C36" s="37" t="str">
        <f t="shared" si="3"/>
        <v>Activo Fijo</v>
      </c>
      <c r="D36" s="35"/>
      <c r="E36" s="35"/>
      <c r="F36" s="82"/>
      <c r="G36" s="35"/>
      <c r="H36" s="50">
        <f>+I13</f>
        <v>6000000</v>
      </c>
      <c r="I36" s="83"/>
      <c r="J36" s="76"/>
      <c r="K36" s="37" t="s">
        <v>44</v>
      </c>
      <c r="L36" s="34"/>
      <c r="M36" s="50">
        <f>+I3</f>
        <v>30000000</v>
      </c>
      <c r="N36" s="84">
        <f>+I4+1</f>
        <v>1.02</v>
      </c>
      <c r="O36" s="57">
        <f>+ROUND(-M36*N36,0)</f>
        <v>-30600000</v>
      </c>
    </row>
    <row r="37" spans="2:17" x14ac:dyDescent="0.25">
      <c r="B37" s="16"/>
      <c r="C37" s="37" t="str">
        <f t="shared" si="3"/>
        <v>Acciones</v>
      </c>
      <c r="H37" s="50">
        <f>+I14</f>
        <v>5000000</v>
      </c>
      <c r="I37" s="123"/>
      <c r="K37" s="37" t="s">
        <v>72</v>
      </c>
      <c r="O37" s="86">
        <f>-E64</f>
        <v>-6000000</v>
      </c>
    </row>
    <row r="38" spans="2:17" x14ac:dyDescent="0.25">
      <c r="C38" s="37" t="str">
        <f t="shared" si="3"/>
        <v>Cuenta Particular</v>
      </c>
      <c r="H38" s="50"/>
      <c r="I38" s="123"/>
      <c r="K38" s="70" t="s">
        <v>73</v>
      </c>
      <c r="L38" s="52"/>
      <c r="M38" s="52"/>
      <c r="N38" s="53"/>
      <c r="O38" s="71">
        <f>SUM(O34:O37)</f>
        <v>14000000</v>
      </c>
    </row>
    <row r="39" spans="2:17" x14ac:dyDescent="0.25">
      <c r="C39" s="87" t="s">
        <v>74</v>
      </c>
      <c r="D39" s="35"/>
      <c r="E39" s="35"/>
      <c r="F39" s="82"/>
      <c r="G39" s="35"/>
      <c r="H39" s="50"/>
      <c r="I39" s="88">
        <f>SUM(H40)</f>
        <v>-2000000</v>
      </c>
    </row>
    <row r="40" spans="2:17" x14ac:dyDescent="0.25">
      <c r="B40" s="16"/>
      <c r="C40" s="37" t="s">
        <v>76</v>
      </c>
      <c r="D40" s="35"/>
      <c r="E40" s="35"/>
      <c r="F40" s="82"/>
      <c r="G40" s="35"/>
      <c r="H40" s="50">
        <f>+I16</f>
        <v>-2000000</v>
      </c>
      <c r="I40" s="83"/>
    </row>
    <row r="41" spans="2:17" ht="15.75" thickBot="1" x14ac:dyDescent="0.3">
      <c r="B41" s="16"/>
      <c r="C41" s="90" t="s">
        <v>79</v>
      </c>
      <c r="D41" s="91"/>
      <c r="E41" s="91"/>
      <c r="F41" s="92"/>
      <c r="G41" s="91"/>
      <c r="H41" s="91"/>
      <c r="I41" s="93">
        <f>SUM(I32:I40)</f>
        <v>42600000</v>
      </c>
      <c r="K41" s="34"/>
      <c r="L41" s="34"/>
    </row>
    <row r="42" spans="2:17" ht="15.75" thickTop="1" x14ac:dyDescent="0.25">
      <c r="B42" s="16"/>
      <c r="C42" s="16"/>
      <c r="D42" s="16"/>
      <c r="E42" s="16"/>
      <c r="F42" s="16"/>
      <c r="G42" s="16"/>
      <c r="H42" s="16"/>
      <c r="I42" s="16"/>
      <c r="J42" s="16"/>
      <c r="M42" s="111" t="s">
        <v>94</v>
      </c>
      <c r="N42" s="111" t="s">
        <v>95</v>
      </c>
      <c r="O42" s="111" t="s">
        <v>96</v>
      </c>
    </row>
    <row r="43" spans="2:17" x14ac:dyDescent="0.25">
      <c r="B43" s="16"/>
      <c r="C43" s="124" t="s">
        <v>112</v>
      </c>
      <c r="K43" s="89" t="s">
        <v>75</v>
      </c>
      <c r="L43" s="28"/>
      <c r="M43" s="55">
        <f>+I3</f>
        <v>30000000</v>
      </c>
      <c r="N43" s="29"/>
      <c r="O43" s="31">
        <f>SUM(M43:N43)</f>
        <v>30000000</v>
      </c>
    </row>
    <row r="44" spans="2:17" x14ac:dyDescent="0.25">
      <c r="C44" s="89" t="s">
        <v>56</v>
      </c>
      <c r="D44" s="29"/>
      <c r="E44" s="29"/>
      <c r="F44" s="29"/>
      <c r="G44" s="29"/>
      <c r="H44" s="29"/>
      <c r="I44" s="56">
        <f>+I3</f>
        <v>30000000</v>
      </c>
      <c r="K44" s="33" t="s">
        <v>77</v>
      </c>
      <c r="L44" s="34"/>
      <c r="M44" s="50">
        <f>+O28</f>
        <v>20000000</v>
      </c>
      <c r="N44" s="115">
        <v>0</v>
      </c>
      <c r="O44" s="39">
        <f t="shared" ref="O44:O46" si="4">SUM(M44:N44)</f>
        <v>20000000</v>
      </c>
    </row>
    <row r="45" spans="2:17" x14ac:dyDescent="0.25">
      <c r="C45" s="33" t="s">
        <v>41</v>
      </c>
      <c r="D45" s="119"/>
      <c r="E45" s="119"/>
      <c r="F45" s="119"/>
      <c r="G45" s="119"/>
      <c r="H45" s="119"/>
      <c r="I45" s="57">
        <f>-O27</f>
        <v>600000</v>
      </c>
      <c r="K45" s="33" t="s">
        <v>78</v>
      </c>
      <c r="N45" s="115">
        <v>0</v>
      </c>
      <c r="O45" s="39">
        <f t="shared" si="4"/>
        <v>0</v>
      </c>
    </row>
    <row r="46" spans="2:17" ht="14.25" customHeight="1" x14ac:dyDescent="0.25">
      <c r="C46" s="33" t="s">
        <v>107</v>
      </c>
      <c r="D46" s="119"/>
      <c r="E46" s="119"/>
      <c r="F46" s="119"/>
      <c r="G46" s="119"/>
      <c r="H46" s="119"/>
      <c r="I46" s="57">
        <f>+O31</f>
        <v>14000000</v>
      </c>
      <c r="K46" s="33" t="s">
        <v>80</v>
      </c>
      <c r="N46" s="115">
        <v>0</v>
      </c>
      <c r="O46" s="39">
        <f t="shared" si="4"/>
        <v>0</v>
      </c>
    </row>
    <row r="47" spans="2:17" ht="14.25" customHeight="1" x14ac:dyDescent="0.25">
      <c r="C47" s="33" t="s">
        <v>109</v>
      </c>
      <c r="D47" s="119"/>
      <c r="E47" s="119"/>
      <c r="F47" s="119"/>
      <c r="G47" s="119"/>
      <c r="H47" s="119"/>
      <c r="I47" s="57">
        <f>-O30</f>
        <v>6000000</v>
      </c>
      <c r="K47" s="33" t="s">
        <v>81</v>
      </c>
      <c r="N47" s="115">
        <v>0</v>
      </c>
      <c r="O47" s="39">
        <f>SUM(M47:N47)</f>
        <v>0</v>
      </c>
      <c r="P47" s="49" t="s">
        <v>82</v>
      </c>
    </row>
    <row r="48" spans="2:17" ht="14.25" customHeight="1" x14ac:dyDescent="0.25">
      <c r="C48" s="33" t="s">
        <v>117</v>
      </c>
      <c r="D48" s="119"/>
      <c r="E48" s="119"/>
      <c r="F48" s="119"/>
      <c r="G48" s="119"/>
      <c r="H48" s="119"/>
      <c r="I48" s="57">
        <f>+I28</f>
        <v>0</v>
      </c>
      <c r="K48" s="94"/>
      <c r="L48" s="43"/>
      <c r="M48" s="96">
        <f>SUM(M43:M44)</f>
        <v>50000000</v>
      </c>
      <c r="N48" s="96">
        <f>SUM(N43:N44)</f>
        <v>0</v>
      </c>
      <c r="O48" s="45">
        <f>SUM(O43:O47)</f>
        <v>50000000</v>
      </c>
      <c r="P48" s="97">
        <v>37540000</v>
      </c>
      <c r="Q48" s="98">
        <f>+P48-O48</f>
        <v>-12460000</v>
      </c>
    </row>
    <row r="49" spans="3:15" ht="14.25" customHeight="1" x14ac:dyDescent="0.25">
      <c r="C49" s="33" t="s">
        <v>108</v>
      </c>
      <c r="D49" s="119"/>
      <c r="E49" s="119"/>
      <c r="F49" s="119"/>
      <c r="G49" s="119"/>
      <c r="H49" s="119"/>
      <c r="I49" s="57">
        <f>-I15</f>
        <v>-8000000</v>
      </c>
      <c r="K49" s="99" t="s">
        <v>83</v>
      </c>
      <c r="L49" s="52"/>
      <c r="M49" s="52"/>
      <c r="N49" s="52"/>
      <c r="O49" s="100">
        <f>-O43</f>
        <v>-30000000</v>
      </c>
    </row>
    <row r="50" spans="3:15" ht="14.25" customHeight="1" x14ac:dyDescent="0.25">
      <c r="C50" s="112" t="s">
        <v>111</v>
      </c>
      <c r="D50" s="52"/>
      <c r="E50" s="52"/>
      <c r="F50" s="52"/>
      <c r="G50" s="52"/>
      <c r="H50" s="52"/>
      <c r="I50" s="95">
        <f>SUM(I44:I49)</f>
        <v>42600000</v>
      </c>
      <c r="O50" s="101">
        <f>SUM(O48:O49)</f>
        <v>20000000</v>
      </c>
    </row>
    <row r="51" spans="3:15" x14ac:dyDescent="0.25">
      <c r="I51" s="25">
        <f>+I50-I41</f>
        <v>0</v>
      </c>
      <c r="M51" s="102" t="s">
        <v>0</v>
      </c>
      <c r="N51" s="56">
        <v>0</v>
      </c>
    </row>
    <row r="52" spans="3:15" ht="15.75" thickBot="1" x14ac:dyDescent="0.3">
      <c r="M52" s="103" t="s">
        <v>2</v>
      </c>
      <c r="N52" s="86">
        <f>+E64</f>
        <v>6000000</v>
      </c>
    </row>
    <row r="53" spans="3:15" x14ac:dyDescent="0.25">
      <c r="C53" s="836" t="s">
        <v>84</v>
      </c>
      <c r="D53" s="837"/>
      <c r="E53" s="842" t="s">
        <v>85</v>
      </c>
      <c r="F53" s="836" t="s">
        <v>86</v>
      </c>
      <c r="G53" s="846"/>
      <c r="H53" s="837"/>
      <c r="I53" s="842" t="s">
        <v>87</v>
      </c>
      <c r="N53" s="104">
        <f>SUM(N51:N52)</f>
        <v>6000000</v>
      </c>
    </row>
    <row r="54" spans="3:15" ht="15.75" thickBot="1" x14ac:dyDescent="0.3">
      <c r="C54" s="838"/>
      <c r="D54" s="839"/>
      <c r="E54" s="843"/>
      <c r="F54" s="840"/>
      <c r="G54" s="847"/>
      <c r="H54" s="841"/>
      <c r="I54" s="843"/>
    </row>
    <row r="55" spans="3:15" x14ac:dyDescent="0.25">
      <c r="C55" s="838"/>
      <c r="D55" s="839"/>
      <c r="E55" s="843"/>
      <c r="F55" s="851" t="s">
        <v>88</v>
      </c>
      <c r="G55" s="852"/>
      <c r="H55" s="855" t="s">
        <v>89</v>
      </c>
      <c r="I55" s="848"/>
    </row>
    <row r="56" spans="3:15" x14ac:dyDescent="0.25">
      <c r="C56" s="838"/>
      <c r="D56" s="839"/>
      <c r="E56" s="843"/>
      <c r="F56" s="853"/>
      <c r="G56" s="854"/>
      <c r="H56" s="855"/>
      <c r="I56" s="848"/>
    </row>
    <row r="57" spans="3:15" ht="38.25" customHeight="1" x14ac:dyDescent="0.25">
      <c r="C57" s="838"/>
      <c r="D57" s="839"/>
      <c r="E57" s="844"/>
      <c r="F57" s="857" t="s">
        <v>118</v>
      </c>
      <c r="G57" s="843"/>
      <c r="H57" s="856"/>
      <c r="I57" s="849"/>
    </row>
    <row r="58" spans="3:15" x14ac:dyDescent="0.25">
      <c r="C58" s="838"/>
      <c r="D58" s="839"/>
      <c r="E58" s="844"/>
      <c r="F58" s="858">
        <v>0.369863</v>
      </c>
      <c r="G58" s="844"/>
      <c r="H58" s="105">
        <v>0.222222</v>
      </c>
      <c r="I58" s="849"/>
    </row>
    <row r="59" spans="3:15" ht="26.25" thickBot="1" x14ac:dyDescent="0.3">
      <c r="C59" s="840"/>
      <c r="D59" s="841"/>
      <c r="E59" s="845"/>
      <c r="F59" s="859" t="s">
        <v>90</v>
      </c>
      <c r="G59" s="845"/>
      <c r="H59" s="106" t="s">
        <v>90</v>
      </c>
      <c r="I59" s="850"/>
    </row>
    <row r="60" spans="3:15" x14ac:dyDescent="0.25">
      <c r="C60" s="831" t="s">
        <v>91</v>
      </c>
      <c r="D60" s="831"/>
      <c r="E60" s="107">
        <f>+O31</f>
        <v>14000000</v>
      </c>
      <c r="F60" s="830"/>
      <c r="G60" s="830"/>
      <c r="H60" s="108"/>
      <c r="I60" s="108"/>
    </row>
    <row r="61" spans="3:15" x14ac:dyDescent="0.25">
      <c r="C61" s="832" t="s">
        <v>92</v>
      </c>
      <c r="D61" s="832"/>
      <c r="E61" s="108">
        <f>-I15</f>
        <v>-8000000</v>
      </c>
      <c r="F61" s="833"/>
      <c r="G61" s="833"/>
      <c r="H61" s="125"/>
      <c r="I61" s="125"/>
    </row>
    <row r="62" spans="3:15" x14ac:dyDescent="0.25">
      <c r="C62" s="829" t="s">
        <v>120</v>
      </c>
      <c r="D62" s="829"/>
      <c r="E62" s="108">
        <v>0</v>
      </c>
      <c r="F62" s="830"/>
      <c r="G62" s="830"/>
      <c r="H62" s="108"/>
      <c r="I62" s="108"/>
    </row>
    <row r="63" spans="3:15" x14ac:dyDescent="0.25">
      <c r="C63" s="834" t="s">
        <v>119</v>
      </c>
      <c r="D63" s="834"/>
      <c r="E63" s="109">
        <v>0</v>
      </c>
      <c r="F63" s="835"/>
      <c r="G63" s="835"/>
      <c r="H63" s="109"/>
      <c r="I63" s="109"/>
      <c r="M63" s="111" t="s">
        <v>94</v>
      </c>
      <c r="N63" s="111" t="s">
        <v>95</v>
      </c>
      <c r="O63" s="111" t="s">
        <v>96</v>
      </c>
    </row>
    <row r="64" spans="3:15" x14ac:dyDescent="0.25">
      <c r="C64" s="826" t="s">
        <v>93</v>
      </c>
      <c r="D64" s="827"/>
      <c r="E64" s="110">
        <f>SUM(E60:E63)</f>
        <v>6000000</v>
      </c>
      <c r="F64" s="828">
        <f>SUM(F60:G63)</f>
        <v>0</v>
      </c>
      <c r="G64" s="828"/>
      <c r="H64" s="110">
        <f>SUM(H60:H63)</f>
        <v>0</v>
      </c>
      <c r="I64" s="110">
        <f>SUM(I60:I63)</f>
        <v>0</v>
      </c>
      <c r="K64" s="89" t="s">
        <v>75</v>
      </c>
      <c r="L64" s="28"/>
      <c r="M64" s="56">
        <f>+I6</f>
        <v>30600000</v>
      </c>
      <c r="N64" s="56">
        <f>+N43</f>
        <v>0</v>
      </c>
      <c r="O64" s="31">
        <f>SUM(M64:N64)</f>
        <v>30600000</v>
      </c>
    </row>
    <row r="65" spans="4:17" x14ac:dyDescent="0.25">
      <c r="D65" s="126">
        <f>+O31</f>
        <v>14000000</v>
      </c>
      <c r="K65" s="33" t="s">
        <v>77</v>
      </c>
      <c r="L65" s="34"/>
      <c r="M65" s="57">
        <f>+M44</f>
        <v>20000000</v>
      </c>
      <c r="N65" s="57">
        <f>+N44</f>
        <v>0</v>
      </c>
      <c r="O65" s="39">
        <f t="shared" ref="O65:O68" si="5">SUM(M65:N65)</f>
        <v>20000000</v>
      </c>
    </row>
    <row r="66" spans="4:17" x14ac:dyDescent="0.25">
      <c r="D66" s="127">
        <v>0.25</v>
      </c>
      <c r="K66" s="33" t="s">
        <v>78</v>
      </c>
      <c r="M66" s="57">
        <f>+M45</f>
        <v>0</v>
      </c>
      <c r="N66" s="57">
        <f>+N45</f>
        <v>0</v>
      </c>
      <c r="O66" s="39">
        <f t="shared" si="5"/>
        <v>0</v>
      </c>
    </row>
    <row r="67" spans="4:17" x14ac:dyDescent="0.25">
      <c r="D67" s="126">
        <f>ROUND(+D65*D66,0)</f>
        <v>3500000</v>
      </c>
      <c r="K67" s="33" t="s">
        <v>80</v>
      </c>
      <c r="M67" s="57">
        <f>+M46</f>
        <v>0</v>
      </c>
      <c r="N67" s="57">
        <f>+N46</f>
        <v>0</v>
      </c>
      <c r="O67" s="39">
        <f t="shared" si="5"/>
        <v>0</v>
      </c>
    </row>
    <row r="68" spans="4:17" x14ac:dyDescent="0.25">
      <c r="K68" s="33" t="s">
        <v>81</v>
      </c>
      <c r="M68" s="57">
        <f>+M47</f>
        <v>0</v>
      </c>
      <c r="N68" s="57">
        <f>+N47</f>
        <v>0</v>
      </c>
      <c r="O68" s="39">
        <f t="shared" si="5"/>
        <v>0</v>
      </c>
      <c r="P68" s="49" t="s">
        <v>82</v>
      </c>
    </row>
    <row r="69" spans="4:17" x14ac:dyDescent="0.25">
      <c r="K69" s="112" t="s">
        <v>97</v>
      </c>
      <c r="L69" s="52"/>
      <c r="M69" s="113">
        <f>SUM(M64:M65)</f>
        <v>50600000</v>
      </c>
      <c r="N69" s="113">
        <f>SUM(N64:N65)</f>
        <v>0</v>
      </c>
      <c r="O69" s="98">
        <f>SUM(O64:O68)</f>
        <v>50600000</v>
      </c>
      <c r="P69" s="97">
        <f>+P48</f>
        <v>37540000</v>
      </c>
      <c r="Q69" s="98">
        <f>+P69-O69</f>
        <v>-13060000</v>
      </c>
    </row>
    <row r="70" spans="4:17" x14ac:dyDescent="0.25">
      <c r="K70" s="99" t="s">
        <v>98</v>
      </c>
      <c r="L70" s="52"/>
      <c r="M70" s="52"/>
      <c r="N70" s="52"/>
      <c r="O70" s="100">
        <f>-O64</f>
        <v>-30600000</v>
      </c>
    </row>
    <row r="71" spans="4:17" x14ac:dyDescent="0.25">
      <c r="O71" s="101">
        <f>SUM(O69:O70)</f>
        <v>20000000</v>
      </c>
    </row>
    <row r="72" spans="4:17" x14ac:dyDescent="0.25">
      <c r="M72" s="102" t="s">
        <v>0</v>
      </c>
      <c r="N72" s="56">
        <v>0</v>
      </c>
    </row>
    <row r="73" spans="4:17" x14ac:dyDescent="0.25">
      <c r="M73" s="103" t="s">
        <v>2</v>
      </c>
      <c r="N73" s="86">
        <f>+E64</f>
        <v>6000000</v>
      </c>
    </row>
    <row r="74" spans="4:17" x14ac:dyDescent="0.25">
      <c r="N74" s="104">
        <f>SUM(N72:N73)</f>
        <v>6000000</v>
      </c>
    </row>
  </sheetData>
  <mergeCells count="19">
    <mergeCell ref="C53:D59"/>
    <mergeCell ref="E53:E59"/>
    <mergeCell ref="F53:H54"/>
    <mergeCell ref="I53:I59"/>
    <mergeCell ref="F55:G56"/>
    <mergeCell ref="H55:H57"/>
    <mergeCell ref="F57:G57"/>
    <mergeCell ref="F58:G58"/>
    <mergeCell ref="F59:G59"/>
    <mergeCell ref="C64:D64"/>
    <mergeCell ref="F64:G64"/>
    <mergeCell ref="C62:D62"/>
    <mergeCell ref="F60:G60"/>
    <mergeCell ref="C60:D60"/>
    <mergeCell ref="F62:G62"/>
    <mergeCell ref="C61:D61"/>
    <mergeCell ref="F61:G61"/>
    <mergeCell ref="C63:D63"/>
    <mergeCell ref="F63:G6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GF112"/>
  <sheetViews>
    <sheetView showGridLines="0" zoomScaleNormal="100" workbookViewId="0">
      <selection activeCell="B38" sqref="B38:K39"/>
    </sheetView>
  </sheetViews>
  <sheetFormatPr baseColWidth="10" defaultColWidth="9.140625" defaultRowHeight="15" x14ac:dyDescent="0.25"/>
  <cols>
    <col min="1" max="1" width="4.42578125" style="1" customWidth="1"/>
    <col min="2" max="2" width="10" style="1" customWidth="1"/>
    <col min="3" max="3" width="14.28515625" style="1" customWidth="1"/>
    <col min="4" max="4" width="16.7109375" style="1" customWidth="1"/>
    <col min="5" max="5" width="14" style="1" customWidth="1"/>
    <col min="6" max="6" width="16.42578125" style="1" customWidth="1"/>
    <col min="7" max="7" width="12.85546875" style="1" customWidth="1"/>
    <col min="8" max="9" width="13.42578125" style="1" customWidth="1"/>
    <col min="10" max="10" width="3.28515625" style="502" customWidth="1"/>
    <col min="11" max="11" width="15.85546875"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2" spans="1:188" ht="15.75" thickBot="1" x14ac:dyDescent="0.3"/>
    <row r="3" spans="1:188" ht="32.25" customHeight="1" thickBot="1" x14ac:dyDescent="0.3">
      <c r="A3" s="172" t="s">
        <v>158</v>
      </c>
      <c r="B3" s="642" t="s">
        <v>555</v>
      </c>
      <c r="C3" s="643"/>
      <c r="D3" s="643"/>
      <c r="E3" s="643"/>
      <c r="F3" s="643"/>
      <c r="G3" s="643"/>
      <c r="H3" s="643"/>
      <c r="I3" s="644"/>
      <c r="J3" s="494"/>
    </row>
    <row r="5" spans="1:188" x14ac:dyDescent="0.25">
      <c r="B5" s="18" t="s">
        <v>125</v>
      </c>
      <c r="C5" s="19"/>
      <c r="D5" s="20"/>
      <c r="E5" s="20"/>
      <c r="F5" s="20"/>
      <c r="G5" s="20"/>
      <c r="H5" s="20"/>
      <c r="I5" s="21" t="s">
        <v>140</v>
      </c>
      <c r="J5" s="495"/>
    </row>
    <row r="6" spans="1:188" ht="15.75" thickBot="1" x14ac:dyDescent="0.3">
      <c r="B6" s="173" t="s">
        <v>153</v>
      </c>
      <c r="C6" s="134"/>
      <c r="D6" s="135"/>
      <c r="E6" s="136"/>
      <c r="F6" s="136"/>
      <c r="G6" s="136"/>
      <c r="H6" s="136"/>
      <c r="I6" s="493">
        <f>+Antecedentes!$L$20</f>
        <v>70000000</v>
      </c>
      <c r="J6" s="498" t="s">
        <v>254</v>
      </c>
    </row>
    <row r="7" spans="1:188" ht="15.75" thickBot="1" x14ac:dyDescent="0.3">
      <c r="B7" s="647" t="s">
        <v>232</v>
      </c>
      <c r="C7" s="648"/>
      <c r="D7" s="648"/>
      <c r="E7" s="648"/>
      <c r="F7" s="648"/>
      <c r="G7" s="648"/>
      <c r="H7" s="649"/>
      <c r="I7" s="497">
        <f>+Antecedentes!K22</f>
        <v>5000000</v>
      </c>
      <c r="J7" s="498" t="s">
        <v>254</v>
      </c>
    </row>
    <row r="8" spans="1:188" ht="15.75" x14ac:dyDescent="0.25">
      <c r="B8" s="142" t="s">
        <v>17</v>
      </c>
      <c r="C8" s="143"/>
      <c r="D8" s="144"/>
      <c r="E8" s="144"/>
      <c r="F8" s="144"/>
      <c r="G8" s="144"/>
      <c r="H8" s="144"/>
      <c r="I8" s="154">
        <f>SUM(I6:I7)</f>
        <v>75000000</v>
      </c>
      <c r="J8" s="498" t="s">
        <v>256</v>
      </c>
    </row>
    <row r="9" spans="1:188" ht="15.75" thickBot="1" x14ac:dyDescent="0.3">
      <c r="B9" s="311" t="s">
        <v>159</v>
      </c>
      <c r="C9" s="312"/>
      <c r="D9" s="313"/>
      <c r="E9" s="314"/>
      <c r="F9" s="314"/>
      <c r="G9" s="314"/>
      <c r="H9" s="314"/>
      <c r="I9" s="152">
        <f>+Antecedentes!L27</f>
        <v>200125</v>
      </c>
      <c r="J9" s="498" t="s">
        <v>254</v>
      </c>
    </row>
    <row r="10" spans="1:188" ht="15.75" thickBot="1" x14ac:dyDescent="0.3">
      <c r="B10" s="213" t="s">
        <v>235</v>
      </c>
      <c r="C10" s="316"/>
      <c r="D10" s="317"/>
      <c r="E10" s="318"/>
      <c r="F10" s="318"/>
      <c r="G10" s="318"/>
      <c r="H10" s="319"/>
      <c r="I10" s="483">
        <f>+Antecedentes!G107-Antecedentes!E107</f>
        <v>875</v>
      </c>
      <c r="J10" s="498" t="s">
        <v>254</v>
      </c>
    </row>
    <row r="11" spans="1:188" ht="15.75" x14ac:dyDescent="0.25">
      <c r="B11" s="142" t="s">
        <v>128</v>
      </c>
      <c r="C11" s="143"/>
      <c r="D11" s="144"/>
      <c r="E11" s="144"/>
      <c r="F11" s="144"/>
      <c r="G11" s="144"/>
      <c r="H11" s="144"/>
      <c r="I11" s="154">
        <f>SUM(I9:I10)</f>
        <v>201000</v>
      </c>
      <c r="J11" s="498" t="s">
        <v>256</v>
      </c>
      <c r="GF11" s="370" t="s">
        <v>323</v>
      </c>
    </row>
    <row r="12" spans="1:188" ht="18" thickBot="1" x14ac:dyDescent="0.35">
      <c r="B12" s="299" t="s">
        <v>127</v>
      </c>
      <c r="C12" s="145"/>
      <c r="D12" s="145"/>
      <c r="E12" s="145"/>
      <c r="F12" s="145"/>
      <c r="G12" s="145"/>
      <c r="H12" s="145"/>
      <c r="I12" s="146"/>
      <c r="J12" s="499" t="s">
        <v>256</v>
      </c>
      <c r="K12" s="301">
        <f>+I8+I11</f>
        <v>75201000</v>
      </c>
    </row>
    <row r="13" spans="1:188" ht="15.75" thickTop="1" x14ac:dyDescent="0.25"/>
    <row r="14" spans="1:188" x14ac:dyDescent="0.25">
      <c r="B14" s="140" t="s">
        <v>126</v>
      </c>
      <c r="C14" s="157"/>
      <c r="D14" s="158"/>
      <c r="E14" s="158"/>
      <c r="F14" s="158"/>
      <c r="G14" s="158"/>
      <c r="H14" s="158"/>
      <c r="I14" s="159" t="s">
        <v>140</v>
      </c>
      <c r="J14" s="496"/>
    </row>
    <row r="15" spans="1:188" x14ac:dyDescent="0.25">
      <c r="B15" s="164" t="str">
        <f>+Antecedentes!C40</f>
        <v>Compras netas  existencias 2020</v>
      </c>
      <c r="C15" s="175"/>
      <c r="D15" s="176"/>
      <c r="E15" s="177"/>
      <c r="F15" s="177"/>
      <c r="G15" s="177"/>
      <c r="H15" s="177"/>
      <c r="I15" s="152">
        <f>-Antecedentes!L40</f>
        <v>-16000000</v>
      </c>
      <c r="J15" s="498" t="s">
        <v>255</v>
      </c>
    </row>
    <row r="16" spans="1:188" x14ac:dyDescent="0.25">
      <c r="B16" s="165" t="str">
        <f>+Antecedentes!C41</f>
        <v>Compra neta camioneta de reparto usada</v>
      </c>
      <c r="C16" s="178"/>
      <c r="D16" s="179"/>
      <c r="E16" s="180"/>
      <c r="F16" s="180"/>
      <c r="G16" s="180"/>
      <c r="H16" s="180"/>
      <c r="I16" s="152">
        <f>-Antecedentes!L41</f>
        <v>-2000000</v>
      </c>
      <c r="J16" s="498" t="s">
        <v>255</v>
      </c>
    </row>
    <row r="17" spans="2:13" ht="15.75" thickBot="1" x14ac:dyDescent="0.3">
      <c r="B17" s="165" t="s">
        <v>215</v>
      </c>
      <c r="C17" s="178"/>
      <c r="D17" s="179"/>
      <c r="E17" s="180"/>
      <c r="F17" s="180"/>
      <c r="G17" s="180"/>
      <c r="H17" s="180"/>
      <c r="I17" s="152">
        <f>-Antecedentes!L42</f>
        <v>-8000000</v>
      </c>
      <c r="J17" s="498" t="s">
        <v>255</v>
      </c>
    </row>
    <row r="18" spans="2:13" ht="15.75" thickBot="1" x14ac:dyDescent="0.3">
      <c r="B18" s="166" t="str">
        <f>+Antecedentes!C43</f>
        <v>Honorarios del ejercicio</v>
      </c>
      <c r="C18" s="178"/>
      <c r="D18" s="179"/>
      <c r="E18" s="180"/>
      <c r="F18" s="180"/>
      <c r="G18" s="180"/>
      <c r="H18" s="180"/>
      <c r="I18" s="483">
        <f>-Antecedentes!L43</f>
        <v>-1000000</v>
      </c>
      <c r="J18" s="498" t="s">
        <v>255</v>
      </c>
    </row>
    <row r="19" spans="2:13" x14ac:dyDescent="0.25">
      <c r="B19" s="174" t="str">
        <f>+Antecedentes!C44</f>
        <v>Gastos generales</v>
      </c>
      <c r="C19" s="178"/>
      <c r="D19" s="179"/>
      <c r="E19" s="180"/>
      <c r="F19" s="180"/>
      <c r="G19" s="180"/>
      <c r="H19" s="180"/>
      <c r="I19" s="320">
        <f>-Antecedentes!L44</f>
        <v>-201000</v>
      </c>
      <c r="J19" s="498" t="s">
        <v>255</v>
      </c>
    </row>
    <row r="20" spans="2:13" ht="15.75" thickBot="1" x14ac:dyDescent="0.3">
      <c r="B20" s="174" t="str">
        <f>+Antecedentes!C45</f>
        <v>Arriendos</v>
      </c>
      <c r="C20" s="178"/>
      <c r="D20" s="179"/>
      <c r="E20" s="180"/>
      <c r="F20" s="180"/>
      <c r="G20" s="180"/>
      <c r="H20" s="180"/>
      <c r="I20" s="320">
        <f>-Antecedentes!L45</f>
        <v>-860000</v>
      </c>
      <c r="J20" s="498" t="s">
        <v>255</v>
      </c>
    </row>
    <row r="21" spans="2:13" ht="15.75" thickBot="1" x14ac:dyDescent="0.3">
      <c r="B21" s="174" t="s">
        <v>216</v>
      </c>
      <c r="C21" s="178"/>
      <c r="D21" s="179"/>
      <c r="E21" s="180"/>
      <c r="F21" s="180"/>
      <c r="G21" s="180"/>
      <c r="H21" s="180"/>
      <c r="I21" s="483">
        <f>-Antecedentes!I49</f>
        <v>-280000</v>
      </c>
      <c r="J21" s="498" t="s">
        <v>255</v>
      </c>
    </row>
    <row r="22" spans="2:13" x14ac:dyDescent="0.25">
      <c r="B22" s="174" t="str">
        <f>+Antecedentes!C50</f>
        <v>Pago intereses y multas fiscales</v>
      </c>
      <c r="C22" s="178"/>
      <c r="D22" s="179"/>
      <c r="E22" s="180"/>
      <c r="F22" s="180"/>
      <c r="G22" s="180"/>
      <c r="H22" s="180"/>
      <c r="I22" s="484">
        <f>-Antecedentes!L50</f>
        <v>-140000</v>
      </c>
      <c r="J22" s="498" t="s">
        <v>255</v>
      </c>
    </row>
    <row r="23" spans="2:13" ht="15.75" thickBot="1" x14ac:dyDescent="0.3">
      <c r="B23" s="174" t="str">
        <f>+Antecedentes!C51</f>
        <v>Pago IDPC AT. 2020</v>
      </c>
      <c r="C23" s="178"/>
      <c r="D23" s="179"/>
      <c r="E23" s="180"/>
      <c r="F23" s="180"/>
      <c r="G23" s="180"/>
      <c r="H23" s="180"/>
      <c r="I23" s="485">
        <f>-Antecedentes!L51</f>
        <v>-3500000</v>
      </c>
      <c r="J23" s="498" t="s">
        <v>255</v>
      </c>
    </row>
    <row r="24" spans="2:13" ht="16.5" thickBot="1" x14ac:dyDescent="0.3">
      <c r="B24" s="147" t="s">
        <v>217</v>
      </c>
      <c r="C24" s="181"/>
      <c r="D24" s="181"/>
      <c r="E24" s="181"/>
      <c r="F24" s="181"/>
      <c r="G24" s="181"/>
      <c r="H24" s="182"/>
      <c r="I24" s="154">
        <f>SUM(I15:I23)</f>
        <v>-31981000</v>
      </c>
      <c r="J24" s="498" t="s">
        <v>256</v>
      </c>
    </row>
    <row r="25" spans="2:13" ht="16.5" thickTop="1" thickBot="1" x14ac:dyDescent="0.3">
      <c r="B25" s="140" t="s">
        <v>143</v>
      </c>
      <c r="C25" s="157"/>
      <c r="D25" s="158"/>
      <c r="E25" s="158"/>
      <c r="F25" s="158"/>
      <c r="G25" s="158"/>
      <c r="H25" s="158"/>
      <c r="I25" s="159" t="s">
        <v>140</v>
      </c>
      <c r="J25" s="511"/>
      <c r="K25" s="4"/>
    </row>
    <row r="26" spans="2:13" x14ac:dyDescent="0.25">
      <c r="B26" s="174" t="str">
        <f>+Antecedentes!C63</f>
        <v>Existencias</v>
      </c>
      <c r="C26" s="178"/>
      <c r="D26" s="179"/>
      <c r="E26" s="180"/>
      <c r="F26" s="180"/>
      <c r="G26" s="180"/>
      <c r="H26" s="180"/>
      <c r="I26" s="484">
        <f>-Antecedentes!H63</f>
        <v>-12500000</v>
      </c>
      <c r="J26" s="498" t="s">
        <v>255</v>
      </c>
    </row>
    <row r="27" spans="2:13" ht="15.75" thickBot="1" x14ac:dyDescent="0.3">
      <c r="B27" s="156" t="str">
        <f>+Antecedentes!C64</f>
        <v>Activo fijo (descontada la depreciación acumulada)</v>
      </c>
      <c r="C27" s="161"/>
      <c r="D27" s="162"/>
      <c r="E27" s="163"/>
      <c r="F27" s="163"/>
      <c r="G27" s="163"/>
      <c r="H27" s="163"/>
      <c r="I27" s="485">
        <f>-Antecedentes!H64</f>
        <v>-6000000</v>
      </c>
      <c r="J27" s="498" t="s">
        <v>255</v>
      </c>
    </row>
    <row r="28" spans="2:13" ht="16.5" thickBot="1" x14ac:dyDescent="0.3">
      <c r="B28" s="147" t="s">
        <v>218</v>
      </c>
      <c r="C28" s="181"/>
      <c r="D28" s="181"/>
      <c r="E28" s="181"/>
      <c r="F28" s="181"/>
      <c r="G28" s="181"/>
      <c r="H28" s="182"/>
      <c r="I28" s="154">
        <f>SUM(I26:I27)</f>
        <v>-18500000</v>
      </c>
      <c r="J28" s="498" t="s">
        <v>256</v>
      </c>
    </row>
    <row r="29" spans="2:13" ht="18.75" thickTop="1" thickBot="1" x14ac:dyDescent="0.35">
      <c r="B29" s="299" t="s">
        <v>219</v>
      </c>
      <c r="C29" s="145"/>
      <c r="D29" s="145"/>
      <c r="E29" s="145"/>
      <c r="F29" s="145"/>
      <c r="G29" s="145"/>
      <c r="H29" s="145"/>
      <c r="I29" s="146"/>
      <c r="J29" s="499" t="s">
        <v>256</v>
      </c>
      <c r="K29" s="500">
        <f>+I28+I24</f>
        <v>-50481000</v>
      </c>
      <c r="M29" s="1" t="s">
        <v>132</v>
      </c>
    </row>
    <row r="30" spans="2:13" ht="15.75" thickTop="1" x14ac:dyDescent="0.25">
      <c r="B30" s="174" t="str">
        <f>+B22</f>
        <v>Pago intereses y multas fiscales</v>
      </c>
      <c r="C30" s="137"/>
      <c r="D30" s="138"/>
      <c r="E30" s="139"/>
      <c r="F30" s="139"/>
      <c r="G30" s="139"/>
      <c r="H30" s="139"/>
      <c r="I30" s="152">
        <f>-I22</f>
        <v>140000</v>
      </c>
      <c r="J30" s="498" t="s">
        <v>254</v>
      </c>
    </row>
    <row r="31" spans="2:13" x14ac:dyDescent="0.25">
      <c r="B31" s="174" t="str">
        <f>+B23</f>
        <v>Pago IDPC AT. 2020</v>
      </c>
      <c r="C31" s="137"/>
      <c r="D31" s="138"/>
      <c r="E31" s="139"/>
      <c r="F31" s="139"/>
      <c r="G31" s="139"/>
      <c r="H31" s="139"/>
      <c r="I31" s="152">
        <f>-I23</f>
        <v>3500000</v>
      </c>
      <c r="J31" s="498" t="s">
        <v>254</v>
      </c>
    </row>
    <row r="32" spans="2:13" ht="18" thickBot="1" x14ac:dyDescent="0.35">
      <c r="B32" s="299" t="s">
        <v>233</v>
      </c>
      <c r="C32" s="145"/>
      <c r="D32" s="145"/>
      <c r="E32" s="145"/>
      <c r="F32" s="145"/>
      <c r="G32" s="145"/>
      <c r="H32" s="145"/>
      <c r="I32" s="146"/>
      <c r="J32" s="499" t="s">
        <v>256</v>
      </c>
      <c r="K32" s="301">
        <f>SUM(I30:I31)</f>
        <v>3640000</v>
      </c>
    </row>
    <row r="33" spans="1:11" ht="16.5" thickTop="1" x14ac:dyDescent="0.25">
      <c r="K33" s="183"/>
    </row>
    <row r="34" spans="1:11" ht="18" thickBot="1" x14ac:dyDescent="0.35">
      <c r="B34" s="141" t="s">
        <v>129</v>
      </c>
      <c r="C34" s="22"/>
      <c r="D34" s="22"/>
      <c r="E34" s="22"/>
      <c r="F34" s="22"/>
      <c r="G34" s="22"/>
      <c r="H34" s="22"/>
      <c r="I34" s="133"/>
      <c r="J34" s="501" t="s">
        <v>256</v>
      </c>
      <c r="K34" s="302">
        <f>SUM(K12:K32)</f>
        <v>28360000</v>
      </c>
    </row>
    <row r="35" spans="1:11" ht="16.5" thickTop="1" x14ac:dyDescent="0.25">
      <c r="K35" s="183"/>
    </row>
    <row r="36" spans="1:11" ht="15.75" x14ac:dyDescent="0.25">
      <c r="B36" s="167" t="s">
        <v>557</v>
      </c>
      <c r="C36" s="22"/>
      <c r="D36" s="22"/>
      <c r="E36" s="22"/>
      <c r="F36" s="22"/>
      <c r="G36" s="22"/>
      <c r="H36" s="22"/>
      <c r="I36" s="133"/>
      <c r="J36" s="503" t="s">
        <v>255</v>
      </c>
      <c r="K36" s="303">
        <f>-I48</f>
        <v>-5360000</v>
      </c>
    </row>
    <row r="37" spans="1:11" ht="15.75" x14ac:dyDescent="0.25">
      <c r="K37" s="183"/>
    </row>
    <row r="38" spans="1:11" ht="17.25" x14ac:dyDescent="0.3">
      <c r="B38" s="148" t="s">
        <v>130</v>
      </c>
      <c r="C38" s="149"/>
      <c r="D38" s="149"/>
      <c r="E38" s="149"/>
      <c r="F38" s="149"/>
      <c r="G38" s="149"/>
      <c r="H38" s="149"/>
      <c r="I38" s="150"/>
      <c r="J38" s="504" t="s">
        <v>256</v>
      </c>
      <c r="K38" s="304">
        <f>+K34+K36</f>
        <v>23000000</v>
      </c>
    </row>
    <row r="39" spans="1:11" ht="17.25" x14ac:dyDescent="0.3">
      <c r="B39" s="305" t="s">
        <v>226</v>
      </c>
      <c r="C39" s="306"/>
      <c r="D39" s="306"/>
      <c r="E39" s="306"/>
      <c r="F39" s="306"/>
      <c r="G39" s="306"/>
      <c r="H39" s="306"/>
      <c r="I39" s="518">
        <v>0.1</v>
      </c>
      <c r="J39" s="307" t="s">
        <v>256</v>
      </c>
      <c r="K39" s="304">
        <f>ROUND(+K38*I39,0)</f>
        <v>2300000</v>
      </c>
    </row>
    <row r="41" spans="1:11" ht="15.75" thickBot="1" x14ac:dyDescent="0.3"/>
    <row r="42" spans="1:11" ht="19.5" customHeight="1" thickBot="1" x14ac:dyDescent="0.3">
      <c r="A42" s="172" t="s">
        <v>161</v>
      </c>
      <c r="B42" s="633" t="s">
        <v>198</v>
      </c>
      <c r="C42" s="634"/>
      <c r="D42" s="634"/>
      <c r="E42" s="634"/>
      <c r="F42" s="634"/>
      <c r="G42" s="634"/>
      <c r="H42" s="634"/>
      <c r="I42" s="635"/>
      <c r="J42" s="494"/>
    </row>
    <row r="43" spans="1:11" ht="16.5" thickBot="1" x14ac:dyDescent="0.3">
      <c r="B43" s="321" t="s">
        <v>160</v>
      </c>
      <c r="C43" s="322"/>
      <c r="D43" s="323"/>
      <c r="E43" s="327"/>
      <c r="F43" s="183"/>
      <c r="G43" s="183"/>
      <c r="H43" s="183"/>
      <c r="I43" s="486">
        <f>+K34</f>
        <v>28360000</v>
      </c>
      <c r="J43" s="505"/>
    </row>
    <row r="44" spans="1:11" ht="16.5" thickBot="1" x14ac:dyDescent="0.3">
      <c r="B44" s="321" t="s">
        <v>244</v>
      </c>
      <c r="C44" s="322"/>
      <c r="D44" s="323"/>
      <c r="E44" s="327"/>
      <c r="F44" s="183"/>
      <c r="G44" s="183"/>
      <c r="H44" s="183"/>
      <c r="I44" s="486">
        <f>-Antecedentes!E101</f>
        <v>-14000000</v>
      </c>
      <c r="J44" s="505"/>
    </row>
    <row r="45" spans="1:11" ht="15.75" x14ac:dyDescent="0.25">
      <c r="B45" s="321" t="s">
        <v>245</v>
      </c>
      <c r="C45" s="322"/>
      <c r="D45" s="323"/>
      <c r="E45" s="327"/>
      <c r="F45" s="183"/>
      <c r="G45" s="183"/>
      <c r="H45" s="183"/>
      <c r="I45" s="325">
        <f>+'CPT Simplificado'!F9</f>
        <v>-140000</v>
      </c>
      <c r="J45" s="506"/>
    </row>
    <row r="46" spans="1:11" ht="15.75" x14ac:dyDescent="0.25">
      <c r="B46" s="321" t="s">
        <v>246</v>
      </c>
      <c r="C46" s="322"/>
      <c r="D46" s="323"/>
      <c r="E46" s="327"/>
      <c r="F46" s="183"/>
      <c r="G46" s="183"/>
      <c r="H46" s="183"/>
      <c r="I46" s="325">
        <f>+'CPT Simplificado'!F10</f>
        <v>-3500000</v>
      </c>
      <c r="J46" s="506"/>
    </row>
    <row r="47" spans="1:11" ht="15.75" x14ac:dyDescent="0.25">
      <c r="B47" s="184" t="s">
        <v>552</v>
      </c>
      <c r="C47" s="322"/>
      <c r="D47" s="323"/>
      <c r="E47" s="327"/>
      <c r="F47" s="183"/>
      <c r="G47" s="183"/>
      <c r="H47" s="183"/>
      <c r="I47" s="153">
        <f>SUM(I43:I46)</f>
        <v>10720000</v>
      </c>
      <c r="J47" s="507"/>
    </row>
    <row r="48" spans="1:11" ht="15" customHeight="1" x14ac:dyDescent="0.25">
      <c r="B48" s="636" t="s">
        <v>236</v>
      </c>
      <c r="C48" s="637"/>
      <c r="D48" s="637"/>
      <c r="E48" s="637"/>
      <c r="F48" s="637"/>
      <c r="G48" s="637"/>
      <c r="H48" s="638"/>
      <c r="I48" s="645">
        <f>MAX(ROUND(+K49*I47,0),0)</f>
        <v>5360000</v>
      </c>
      <c r="J48" s="508"/>
    </row>
    <row r="49" spans="2:11" ht="15.75" x14ac:dyDescent="0.25">
      <c r="B49" s="639"/>
      <c r="C49" s="640"/>
      <c r="D49" s="640"/>
      <c r="E49" s="640"/>
      <c r="F49" s="640"/>
      <c r="G49" s="640"/>
      <c r="H49" s="641"/>
      <c r="I49" s="646"/>
      <c r="J49" s="509"/>
      <c r="K49" s="510">
        <v>0.5</v>
      </c>
    </row>
    <row r="52" spans="2:11" ht="19.5" customHeight="1" x14ac:dyDescent="0.25"/>
    <row r="81" ht="39" customHeight="1" x14ac:dyDescent="0.25"/>
    <row r="83" ht="17.25" customHeight="1" x14ac:dyDescent="0.25"/>
    <row r="101" spans="3:7" ht="14.25" customHeight="1" x14ac:dyDescent="0.25"/>
    <row r="106" spans="3:7" x14ac:dyDescent="0.25">
      <c r="C106" s="17"/>
      <c r="D106" s="17"/>
      <c r="E106" s="17"/>
      <c r="F106" s="17"/>
      <c r="G106" s="17"/>
    </row>
    <row r="110" spans="3:7" ht="36.75" customHeight="1" x14ac:dyDescent="0.25"/>
    <row r="112" spans="3:7" x14ac:dyDescent="0.25">
      <c r="C112" s="17"/>
      <c r="D112" s="17"/>
      <c r="E112" s="17"/>
      <c r="F112" s="17"/>
      <c r="G112" s="17"/>
    </row>
  </sheetData>
  <mergeCells count="5">
    <mergeCell ref="B42:I42"/>
    <mergeCell ref="B48:H49"/>
    <mergeCell ref="B3:I3"/>
    <mergeCell ref="I48:I49"/>
    <mergeCell ref="B7:H7"/>
  </mergeCells>
  <pageMargins left="0.27559055118110237" right="0.15748031496062992" top="0.39370078740157483" bottom="0.19685039370078741" header="0.31496062992125984" footer="0.11811023622047245"/>
  <pageSetup paperSize="5"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J48"/>
  <sheetViews>
    <sheetView showGridLines="0" topLeftCell="A13" zoomScale="85" zoomScaleNormal="85" workbookViewId="0">
      <selection activeCell="D14" sqref="D14"/>
    </sheetView>
  </sheetViews>
  <sheetFormatPr baseColWidth="10" defaultColWidth="11.42578125" defaultRowHeight="15.75" x14ac:dyDescent="0.25"/>
  <cols>
    <col min="1" max="1" width="1.85546875" style="347" customWidth="1"/>
    <col min="2" max="2" width="83.85546875" style="347" customWidth="1"/>
    <col min="3" max="3" width="10.140625" style="347" customWidth="1"/>
    <col min="4" max="4" width="20" style="347" customWidth="1"/>
    <col min="5" max="17" width="4.7109375" style="347" customWidth="1"/>
    <col min="18" max="16384" width="11.42578125" style="347"/>
  </cols>
  <sheetData>
    <row r="1" spans="2:5" ht="16.5" thickBot="1" x14ac:dyDescent="0.3"/>
    <row r="2" spans="2:5" x14ac:dyDescent="0.25">
      <c r="B2" s="653" t="s">
        <v>574</v>
      </c>
      <c r="C2" s="654"/>
      <c r="D2" s="654"/>
      <c r="E2" s="655"/>
    </row>
    <row r="3" spans="2:5" ht="16.5" thickBot="1" x14ac:dyDescent="0.3">
      <c r="B3" s="656"/>
      <c r="C3" s="657"/>
      <c r="D3" s="657"/>
      <c r="E3" s="658"/>
    </row>
    <row r="4" spans="2:5" ht="32.25" thickBot="1" x14ac:dyDescent="0.3">
      <c r="B4" s="348"/>
      <c r="C4" s="349"/>
      <c r="D4" s="350" t="s">
        <v>257</v>
      </c>
      <c r="E4" s="351"/>
    </row>
    <row r="5" spans="2:5" x14ac:dyDescent="0.25">
      <c r="B5" s="556" t="s">
        <v>258</v>
      </c>
      <c r="C5" s="557">
        <v>1400</v>
      </c>
      <c r="D5" s="558">
        <f>+'Base Imponible y 14E'!I6</f>
        <v>70000000</v>
      </c>
      <c r="E5" s="542" t="s">
        <v>254</v>
      </c>
    </row>
    <row r="6" spans="2:5" x14ac:dyDescent="0.25">
      <c r="B6" s="554" t="s">
        <v>259</v>
      </c>
      <c r="C6" s="548">
        <v>1401</v>
      </c>
      <c r="D6" s="535"/>
      <c r="E6" s="536" t="s">
        <v>254</v>
      </c>
    </row>
    <row r="7" spans="2:5" x14ac:dyDescent="0.25">
      <c r="B7" s="554" t="s">
        <v>561</v>
      </c>
      <c r="C7" s="548">
        <v>1402</v>
      </c>
      <c r="D7" s="535"/>
      <c r="E7" s="536" t="s">
        <v>254</v>
      </c>
    </row>
    <row r="8" spans="2:5" ht="25.5" customHeight="1" x14ac:dyDescent="0.25">
      <c r="B8" s="555" t="s">
        <v>260</v>
      </c>
      <c r="C8" s="548">
        <v>1403</v>
      </c>
      <c r="D8" s="535"/>
      <c r="E8" s="536" t="s">
        <v>254</v>
      </c>
    </row>
    <row r="9" spans="2:5" ht="31.5" customHeight="1" x14ac:dyDescent="0.25">
      <c r="B9" s="555" t="s">
        <v>261</v>
      </c>
      <c r="C9" s="548">
        <v>1587</v>
      </c>
      <c r="D9" s="535">
        <f>+'Base Imponible y 14E'!I7</f>
        <v>5000000</v>
      </c>
      <c r="E9" s="536" t="s">
        <v>254</v>
      </c>
    </row>
    <row r="10" spans="2:5" x14ac:dyDescent="0.25">
      <c r="B10" s="554" t="s">
        <v>262</v>
      </c>
      <c r="C10" s="548">
        <v>1588</v>
      </c>
      <c r="D10" s="535">
        <f>+'Base Imponible y 14E'!I11</f>
        <v>201000</v>
      </c>
      <c r="E10" s="536" t="s">
        <v>254</v>
      </c>
    </row>
    <row r="11" spans="2:5" ht="32.25" customHeight="1" x14ac:dyDescent="0.25">
      <c r="B11" s="555" t="s">
        <v>573</v>
      </c>
      <c r="C11" s="548">
        <v>1404</v>
      </c>
      <c r="D11" s="535"/>
      <c r="E11" s="536" t="s">
        <v>254</v>
      </c>
    </row>
    <row r="12" spans="2:5" ht="16.5" thickBot="1" x14ac:dyDescent="0.3">
      <c r="B12" s="559" t="s">
        <v>572</v>
      </c>
      <c r="C12" s="560">
        <v>1405</v>
      </c>
      <c r="D12" s="561"/>
      <c r="E12" s="562" t="s">
        <v>254</v>
      </c>
    </row>
    <row r="13" spans="2:5" ht="16.5" thickBot="1" x14ac:dyDescent="0.3">
      <c r="B13" s="565" t="s">
        <v>562</v>
      </c>
      <c r="C13" s="549">
        <v>1410</v>
      </c>
      <c r="D13" s="538">
        <f>SUM(D5:D12)</f>
        <v>75201000</v>
      </c>
      <c r="E13" s="546" t="s">
        <v>256</v>
      </c>
    </row>
    <row r="14" spans="2:5" ht="31.5" x14ac:dyDescent="0.25">
      <c r="B14" s="563" t="s">
        <v>263</v>
      </c>
      <c r="C14" s="552">
        <v>1406</v>
      </c>
      <c r="D14" s="564">
        <f>-'Base Imponible y 14E'!I26</f>
        <v>12500000</v>
      </c>
      <c r="E14" s="542" t="s">
        <v>255</v>
      </c>
    </row>
    <row r="15" spans="2:5" x14ac:dyDescent="0.25">
      <c r="B15" s="555" t="s">
        <v>264</v>
      </c>
      <c r="C15" s="551">
        <v>1407</v>
      </c>
      <c r="D15" s="539">
        <f>-'Base Imponible y 14E'!I27</f>
        <v>6000000</v>
      </c>
      <c r="E15" s="536" t="s">
        <v>255</v>
      </c>
    </row>
    <row r="16" spans="2:5" x14ac:dyDescent="0.25">
      <c r="B16" s="555" t="s">
        <v>265</v>
      </c>
      <c r="C16" s="551">
        <v>1408</v>
      </c>
      <c r="D16" s="539"/>
      <c r="E16" s="536" t="s">
        <v>255</v>
      </c>
    </row>
    <row r="17" spans="2:10" x14ac:dyDescent="0.25">
      <c r="B17" s="555" t="s">
        <v>266</v>
      </c>
      <c r="C17" s="551">
        <v>1409</v>
      </c>
      <c r="D17" s="539">
        <f>-'Base Imponible y 14E'!I15</f>
        <v>16000000</v>
      </c>
      <c r="E17" s="536" t="s">
        <v>255</v>
      </c>
    </row>
    <row r="18" spans="2:10" x14ac:dyDescent="0.25">
      <c r="B18" s="555" t="s">
        <v>267</v>
      </c>
      <c r="C18" s="551">
        <v>1429</v>
      </c>
      <c r="D18" s="539"/>
      <c r="E18" s="536" t="s">
        <v>255</v>
      </c>
    </row>
    <row r="19" spans="2:10" x14ac:dyDescent="0.25">
      <c r="B19" s="555" t="s">
        <v>268</v>
      </c>
      <c r="C19" s="551">
        <v>1411</v>
      </c>
      <c r="D19" s="539">
        <f>-'Base Imponible y 14E'!I17</f>
        <v>8000000</v>
      </c>
      <c r="E19" s="536" t="s">
        <v>255</v>
      </c>
    </row>
    <row r="20" spans="2:10" x14ac:dyDescent="0.25">
      <c r="B20" s="555" t="s">
        <v>269</v>
      </c>
      <c r="C20" s="551">
        <v>1412</v>
      </c>
      <c r="D20" s="539">
        <f>-'Base Imponible y 14E'!I18</f>
        <v>1000000</v>
      </c>
      <c r="E20" s="536" t="s">
        <v>255</v>
      </c>
    </row>
    <row r="21" spans="2:10" x14ac:dyDescent="0.25">
      <c r="B21" s="555" t="s">
        <v>270</v>
      </c>
      <c r="C21" s="551">
        <v>1413</v>
      </c>
      <c r="D21" s="539">
        <f>-'Base Imponible y 14E'!I16</f>
        <v>2000000</v>
      </c>
      <c r="E21" s="536" t="s">
        <v>255</v>
      </c>
    </row>
    <row r="22" spans="2:10" x14ac:dyDescent="0.25">
      <c r="B22" s="555" t="s">
        <v>271</v>
      </c>
      <c r="C22" s="551">
        <v>1414</v>
      </c>
      <c r="D22" s="539"/>
      <c r="E22" s="536" t="s">
        <v>255</v>
      </c>
    </row>
    <row r="23" spans="2:10" x14ac:dyDescent="0.25">
      <c r="B23" s="555" t="s">
        <v>272</v>
      </c>
      <c r="C23" s="551">
        <v>1415</v>
      </c>
      <c r="D23" s="539">
        <f>-'Base Imponible y 14E'!I20</f>
        <v>860000</v>
      </c>
      <c r="E23" s="536" t="s">
        <v>255</v>
      </c>
    </row>
    <row r="24" spans="2:10" x14ac:dyDescent="0.25">
      <c r="B24" s="555" t="s">
        <v>563</v>
      </c>
      <c r="C24" s="551">
        <v>1416</v>
      </c>
      <c r="D24" s="539"/>
      <c r="E24" s="536" t="s">
        <v>255</v>
      </c>
      <c r="H24" s="659"/>
      <c r="I24" s="659"/>
      <c r="J24" s="659"/>
    </row>
    <row r="25" spans="2:10" x14ac:dyDescent="0.25">
      <c r="B25" s="555" t="s">
        <v>564</v>
      </c>
      <c r="C25" s="551">
        <v>1417</v>
      </c>
      <c r="D25" s="539"/>
      <c r="E25" s="536" t="s">
        <v>255</v>
      </c>
    </row>
    <row r="26" spans="2:10" ht="16.5" thickBot="1" x14ac:dyDescent="0.3">
      <c r="B26" s="555" t="s">
        <v>565</v>
      </c>
      <c r="C26" s="551">
        <v>1418</v>
      </c>
      <c r="D26" s="539"/>
      <c r="E26" s="536" t="s">
        <v>255</v>
      </c>
    </row>
    <row r="27" spans="2:10" ht="16.5" thickBot="1" x14ac:dyDescent="0.3">
      <c r="B27" s="555" t="s">
        <v>273</v>
      </c>
      <c r="C27" s="551">
        <v>1419</v>
      </c>
      <c r="D27" s="540">
        <f>-'Base Imponible y 14E'!I21</f>
        <v>280000</v>
      </c>
      <c r="E27" s="536" t="s">
        <v>255</v>
      </c>
    </row>
    <row r="28" spans="2:10" x14ac:dyDescent="0.25">
      <c r="B28" s="555" t="s">
        <v>274</v>
      </c>
      <c r="C28" s="551">
        <v>1420</v>
      </c>
      <c r="D28" s="539"/>
      <c r="E28" s="536" t="s">
        <v>255</v>
      </c>
    </row>
    <row r="29" spans="2:10" x14ac:dyDescent="0.25">
      <c r="B29" s="555" t="s">
        <v>275</v>
      </c>
      <c r="C29" s="551">
        <v>1421</v>
      </c>
      <c r="D29" s="539"/>
      <c r="E29" s="536" t="s">
        <v>255</v>
      </c>
    </row>
    <row r="30" spans="2:10" x14ac:dyDescent="0.25">
      <c r="B30" s="555" t="s">
        <v>276</v>
      </c>
      <c r="C30" s="551">
        <v>1422</v>
      </c>
      <c r="D30" s="539">
        <f>-'Base Imponible y 14E'!I22-'Base Imponible y 14E'!I23</f>
        <v>3640000</v>
      </c>
      <c r="E30" s="536" t="s">
        <v>255</v>
      </c>
    </row>
    <row r="31" spans="2:10" ht="16.5" thickBot="1" x14ac:dyDescent="0.3">
      <c r="B31" s="555" t="s">
        <v>277</v>
      </c>
      <c r="C31" s="551">
        <v>1423</v>
      </c>
      <c r="D31" s="539"/>
      <c r="E31" s="536" t="s">
        <v>255</v>
      </c>
    </row>
    <row r="32" spans="2:10" ht="16.5" thickBot="1" x14ac:dyDescent="0.3">
      <c r="B32" s="555" t="s">
        <v>278</v>
      </c>
      <c r="C32" s="551">
        <v>1424</v>
      </c>
      <c r="D32" s="540">
        <f>-'Base Imponible y 14E'!I19</f>
        <v>201000</v>
      </c>
      <c r="E32" s="536" t="s">
        <v>255</v>
      </c>
    </row>
    <row r="33" spans="2:5" ht="31.5" x14ac:dyDescent="0.25">
      <c r="B33" s="555" t="s">
        <v>279</v>
      </c>
      <c r="C33" s="552">
        <v>1425</v>
      </c>
      <c r="D33" s="541"/>
      <c r="E33" s="542" t="s">
        <v>255</v>
      </c>
    </row>
    <row r="34" spans="2:5" x14ac:dyDescent="0.25">
      <c r="B34" s="555" t="s">
        <v>280</v>
      </c>
      <c r="C34" s="552">
        <v>1426</v>
      </c>
      <c r="D34" s="543"/>
      <c r="E34" s="542" t="s">
        <v>255</v>
      </c>
    </row>
    <row r="35" spans="2:5" ht="31.5" x14ac:dyDescent="0.25">
      <c r="B35" s="555" t="s">
        <v>281</v>
      </c>
      <c r="C35" s="552">
        <v>1427</v>
      </c>
      <c r="D35" s="541"/>
      <c r="E35" s="542" t="s">
        <v>255</v>
      </c>
    </row>
    <row r="36" spans="2:5" ht="16.5" thickBot="1" x14ac:dyDescent="0.3">
      <c r="B36" s="559" t="s">
        <v>282</v>
      </c>
      <c r="C36" s="566">
        <v>1428</v>
      </c>
      <c r="D36" s="567"/>
      <c r="E36" s="562" t="s">
        <v>255</v>
      </c>
    </row>
    <row r="37" spans="2:5" ht="16.5" thickBot="1" x14ac:dyDescent="0.3">
      <c r="B37" s="565" t="s">
        <v>566</v>
      </c>
      <c r="C37" s="549">
        <v>1430</v>
      </c>
      <c r="D37" s="538">
        <f>SUM(D14:D36)</f>
        <v>50481000</v>
      </c>
      <c r="E37" s="545" t="s">
        <v>256</v>
      </c>
    </row>
    <row r="38" spans="2:5" ht="32.25" thickBot="1" x14ac:dyDescent="0.3">
      <c r="B38" s="569" t="s">
        <v>567</v>
      </c>
      <c r="C38" s="566">
        <v>1431</v>
      </c>
      <c r="D38" s="568">
        <f>+D30</f>
        <v>3640000</v>
      </c>
      <c r="E38" s="562" t="s">
        <v>254</v>
      </c>
    </row>
    <row r="39" spans="2:5" ht="48" thickBot="1" x14ac:dyDescent="0.3">
      <c r="B39" s="570" t="s">
        <v>568</v>
      </c>
      <c r="C39" s="549">
        <v>1729</v>
      </c>
      <c r="D39" s="519">
        <f>+D13-D37+D38</f>
        <v>28360000</v>
      </c>
      <c r="E39" s="546" t="s">
        <v>256</v>
      </c>
    </row>
    <row r="40" spans="2:5" x14ac:dyDescent="0.25">
      <c r="B40" s="563" t="s">
        <v>283</v>
      </c>
      <c r="C40" s="552">
        <v>1432</v>
      </c>
      <c r="D40" s="541">
        <f>-'Base Imponible y 14E'!K36</f>
        <v>5360000</v>
      </c>
      <c r="E40" s="542" t="s">
        <v>255</v>
      </c>
    </row>
    <row r="41" spans="2:5" ht="34.5" customHeight="1" thickBot="1" x14ac:dyDescent="0.3">
      <c r="B41" s="559" t="s">
        <v>569</v>
      </c>
      <c r="C41" s="566">
        <v>1433</v>
      </c>
      <c r="D41" s="567"/>
      <c r="E41" s="562" t="s">
        <v>255</v>
      </c>
    </row>
    <row r="42" spans="2:5" ht="32.25" thickBot="1" x14ac:dyDescent="0.3">
      <c r="B42" s="571" t="s">
        <v>284</v>
      </c>
      <c r="C42" s="549">
        <v>1440</v>
      </c>
      <c r="D42" s="538">
        <f>+D39-D40-D41</f>
        <v>23000000</v>
      </c>
      <c r="E42" s="545" t="s">
        <v>256</v>
      </c>
    </row>
    <row r="43" spans="2:5" ht="16.5" thickBot="1" x14ac:dyDescent="0.3">
      <c r="B43" s="650" t="s">
        <v>285</v>
      </c>
      <c r="C43" s="651"/>
      <c r="D43" s="651"/>
      <c r="E43" s="652"/>
    </row>
    <row r="44" spans="2:5" ht="31.5" x14ac:dyDescent="0.25">
      <c r="B44" s="574" t="s">
        <v>570</v>
      </c>
      <c r="C44" s="550">
        <v>1434</v>
      </c>
      <c r="D44" s="547"/>
      <c r="E44" s="534" t="s">
        <v>254</v>
      </c>
    </row>
    <row r="45" spans="2:5" ht="32.25" thickBot="1" x14ac:dyDescent="0.3">
      <c r="B45" s="575" t="s">
        <v>571</v>
      </c>
      <c r="C45" s="553">
        <v>1435</v>
      </c>
      <c r="D45" s="544"/>
      <c r="E45" s="537" t="s">
        <v>254</v>
      </c>
    </row>
    <row r="46" spans="2:5" ht="16.5" thickBot="1" x14ac:dyDescent="0.3">
      <c r="B46" s="572" t="s">
        <v>286</v>
      </c>
      <c r="C46" s="553">
        <v>1450</v>
      </c>
      <c r="D46" s="544"/>
      <c r="E46" s="573" t="s">
        <v>256</v>
      </c>
    </row>
    <row r="48" spans="2:5" x14ac:dyDescent="0.25">
      <c r="B48" s="525"/>
    </row>
  </sheetData>
  <mergeCells count="3">
    <mergeCell ref="B43:E43"/>
    <mergeCell ref="B2:E3"/>
    <mergeCell ref="H24:J24"/>
  </mergeCells>
  <pageMargins left="0.70866141732283472" right="0.70866141732283472" top="0.74803149606299213" bottom="0.74803149606299213" header="0.31496062992125984" footer="0.31496062992125984"/>
  <pageSetup paperSize="5" scale="90" orientation="landscape" r:id="rId1"/>
  <rowBreaks count="1" manualBreakCount="1">
    <brk id="26"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tabSelected="1" zoomScale="90" zoomScaleNormal="90" workbookViewId="0">
      <selection activeCell="K7" sqref="K7"/>
    </sheetView>
  </sheetViews>
  <sheetFormatPr baseColWidth="10" defaultColWidth="9.140625" defaultRowHeight="15" x14ac:dyDescent="0.25"/>
  <cols>
    <col min="1" max="1" width="4.42578125" style="1" customWidth="1"/>
    <col min="2" max="2" width="10" style="1" customWidth="1"/>
    <col min="3" max="3" width="18" style="1" customWidth="1"/>
    <col min="4" max="4" width="20.85546875" style="1" customWidth="1"/>
    <col min="5" max="5" width="14" style="1" customWidth="1"/>
    <col min="6" max="6" width="13.42578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1" spans="1:7" ht="15.75" thickBot="1" x14ac:dyDescent="0.3"/>
    <row r="2" spans="1:7" ht="19.5" customHeight="1" thickBot="1" x14ac:dyDescent="0.3">
      <c r="A2" s="172"/>
      <c r="B2" s="633" t="s">
        <v>204</v>
      </c>
      <c r="C2" s="634"/>
      <c r="D2" s="634"/>
      <c r="E2" s="634"/>
      <c r="F2" s="635"/>
    </row>
    <row r="3" spans="1:7" ht="16.5" thickBot="1" x14ac:dyDescent="0.3">
      <c r="B3" s="5"/>
      <c r="C3" s="6"/>
      <c r="D3" s="7"/>
      <c r="E3" s="4"/>
      <c r="F3" s="330" t="s">
        <v>13</v>
      </c>
    </row>
    <row r="4" spans="1:7" ht="16.5" thickBot="1" x14ac:dyDescent="0.3">
      <c r="B4" s="326" t="s">
        <v>220</v>
      </c>
      <c r="C4" s="322"/>
      <c r="D4" s="323"/>
      <c r="E4" s="327"/>
      <c r="F4" s="486">
        <f>+Antecedentes!I68</f>
        <v>42600000</v>
      </c>
    </row>
    <row r="5" spans="1:7" ht="16.5" thickBot="1" x14ac:dyDescent="0.3">
      <c r="B5" s="326" t="s">
        <v>221</v>
      </c>
      <c r="C5" s="322"/>
      <c r="D5" s="323"/>
      <c r="E5" s="327"/>
      <c r="F5" s="486">
        <f>-Antecedentes!E81</f>
        <v>-6000000</v>
      </c>
      <c r="G5" s="308"/>
    </row>
    <row r="6" spans="1:7" ht="15.75" x14ac:dyDescent="0.25">
      <c r="B6" s="326" t="s">
        <v>248</v>
      </c>
      <c r="C6" s="322"/>
      <c r="D6" s="323"/>
      <c r="E6" s="327"/>
      <c r="F6" s="325">
        <f>-Antecedentes!L14</f>
        <v>-30600000</v>
      </c>
    </row>
    <row r="7" spans="1:7" ht="15.75" x14ac:dyDescent="0.25">
      <c r="B7" s="188" t="s">
        <v>164</v>
      </c>
      <c r="C7" s="328"/>
      <c r="D7" s="329"/>
      <c r="E7" s="149"/>
      <c r="F7" s="153">
        <f>SUM(F3:F6)</f>
        <v>6000000</v>
      </c>
    </row>
    <row r="9" spans="1:7" ht="15.75" thickBot="1" x14ac:dyDescent="0.3"/>
    <row r="10" spans="1:7" ht="19.5" customHeight="1" thickBot="1" x14ac:dyDescent="0.3">
      <c r="A10" s="172"/>
      <c r="B10" s="633" t="s">
        <v>163</v>
      </c>
      <c r="C10" s="634"/>
      <c r="D10" s="634"/>
      <c r="E10" s="634"/>
      <c r="F10" s="635"/>
    </row>
    <row r="11" spans="1:7" ht="15.75" x14ac:dyDescent="0.25">
      <c r="B11" s="5"/>
      <c r="C11" s="6"/>
      <c r="D11" s="7"/>
      <c r="E11" s="4"/>
      <c r="F11" s="330" t="s">
        <v>13</v>
      </c>
    </row>
    <row r="12" spans="1:7" ht="15.75" x14ac:dyDescent="0.25">
      <c r="B12" s="326" t="s">
        <v>222</v>
      </c>
      <c r="C12" s="322"/>
      <c r="D12" s="323"/>
      <c r="E12" s="327"/>
      <c r="F12" s="325">
        <f>+'CPT Simplificado'!F12</f>
        <v>54030000</v>
      </c>
    </row>
    <row r="13" spans="1:7" ht="16.5" thickBot="1" x14ac:dyDescent="0.3">
      <c r="B13" s="326" t="s">
        <v>247</v>
      </c>
      <c r="C13" s="322"/>
      <c r="D13" s="323"/>
      <c r="E13" s="327"/>
      <c r="F13" s="325">
        <f>+Antecedentes!E101</f>
        <v>14000000</v>
      </c>
    </row>
    <row r="14" spans="1:7" ht="16.5" thickBot="1" x14ac:dyDescent="0.3">
      <c r="B14" s="326" t="s">
        <v>223</v>
      </c>
      <c r="C14" s="322"/>
      <c r="D14" s="323"/>
      <c r="E14" s="327"/>
      <c r="F14" s="486">
        <f>-RTRE!H18-RTRE!I18</f>
        <v>-2580000</v>
      </c>
      <c r="G14" s="308"/>
    </row>
    <row r="15" spans="1:7" ht="16.5" thickBot="1" x14ac:dyDescent="0.3">
      <c r="B15" s="326" t="s">
        <v>248</v>
      </c>
      <c r="C15" s="322"/>
      <c r="D15" s="323"/>
      <c r="E15" s="327"/>
      <c r="F15" s="486">
        <f>-Antecedentes!L14</f>
        <v>-30600000</v>
      </c>
    </row>
    <row r="16" spans="1:7" ht="15.75" x14ac:dyDescent="0.25">
      <c r="B16" s="188" t="s">
        <v>165</v>
      </c>
      <c r="C16" s="328"/>
      <c r="D16" s="329"/>
      <c r="E16" s="149"/>
      <c r="F16" s="153">
        <f>SUM(F11:F15)</f>
        <v>34850000</v>
      </c>
    </row>
    <row r="17" spans="2:6" ht="15.75" x14ac:dyDescent="0.25">
      <c r="B17" s="331"/>
      <c r="C17" s="322"/>
      <c r="D17" s="323"/>
      <c r="E17" s="327"/>
      <c r="F17" s="332"/>
    </row>
    <row r="21" spans="2:6" x14ac:dyDescent="0.25">
      <c r="C21" s="17"/>
      <c r="D21" s="17"/>
      <c r="E21" s="17"/>
    </row>
    <row r="25" spans="2:6" ht="36.75" customHeight="1" x14ac:dyDescent="0.25"/>
    <row r="27" spans="2:6" x14ac:dyDescent="0.25">
      <c r="C27" s="17"/>
      <c r="D27" s="17"/>
      <c r="E27" s="17"/>
    </row>
  </sheetData>
  <mergeCells count="2">
    <mergeCell ref="B2:F2"/>
    <mergeCell ref="B10:F10"/>
  </mergeCells>
  <pageMargins left="0.7" right="0.7"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E17"/>
  <sheetViews>
    <sheetView showGridLines="0" view="pageBreakPreview" topLeftCell="B1" zoomScaleNormal="100" zoomScaleSheetLayoutView="100" workbookViewId="0">
      <selection activeCell="C15" sqref="C15"/>
    </sheetView>
  </sheetViews>
  <sheetFormatPr baseColWidth="10" defaultColWidth="11.42578125" defaultRowHeight="15.75" x14ac:dyDescent="0.25"/>
  <cols>
    <col min="1" max="1" width="0.7109375" style="347" customWidth="1"/>
    <col min="2" max="2" width="91" style="347" customWidth="1"/>
    <col min="3" max="3" width="8.140625" style="347" customWidth="1"/>
    <col min="4" max="4" width="22.140625" style="347" customWidth="1"/>
    <col min="5" max="12" width="4.7109375" style="347" customWidth="1"/>
    <col min="13" max="13" width="5.85546875" style="347" customWidth="1"/>
    <col min="14" max="19" width="4.7109375" style="347" customWidth="1"/>
    <col min="20" max="16384" width="11.42578125" style="347"/>
  </cols>
  <sheetData>
    <row r="1" spans="2:187" ht="16.5" thickBot="1" x14ac:dyDescent="0.3"/>
    <row r="2" spans="2:187" x14ac:dyDescent="0.25">
      <c r="B2" s="660" t="s">
        <v>575</v>
      </c>
      <c r="C2" s="661"/>
      <c r="D2" s="661"/>
      <c r="E2" s="662"/>
    </row>
    <row r="3" spans="2:187" ht="16.5" thickBot="1" x14ac:dyDescent="0.3">
      <c r="B3" s="663"/>
      <c r="C3" s="664"/>
      <c r="D3" s="664"/>
      <c r="E3" s="665"/>
    </row>
    <row r="4" spans="2:187" x14ac:dyDescent="0.25">
      <c r="B4" s="579" t="s">
        <v>576</v>
      </c>
      <c r="C4" s="364">
        <v>1703</v>
      </c>
      <c r="D4" s="578">
        <f>+'RAI Inicial y Final'!F12</f>
        <v>54030000</v>
      </c>
      <c r="E4" s="362" t="s">
        <v>254</v>
      </c>
    </row>
    <row r="5" spans="2:187" x14ac:dyDescent="0.25">
      <c r="B5" s="580" t="s">
        <v>577</v>
      </c>
      <c r="C5" s="366">
        <v>1719</v>
      </c>
      <c r="D5" s="368"/>
      <c r="E5" s="367" t="s">
        <v>255</v>
      </c>
    </row>
    <row r="6" spans="2:187" x14ac:dyDescent="0.25">
      <c r="B6" s="580" t="s">
        <v>287</v>
      </c>
      <c r="C6" s="366">
        <v>1492</v>
      </c>
      <c r="D6" s="368"/>
      <c r="E6" s="367" t="s">
        <v>254</v>
      </c>
    </row>
    <row r="7" spans="2:187" x14ac:dyDescent="0.25">
      <c r="B7" s="580" t="s">
        <v>578</v>
      </c>
      <c r="C7" s="366">
        <v>1704</v>
      </c>
      <c r="D7" s="368">
        <f>+'RAI Inicial y Final'!F13</f>
        <v>14000000</v>
      </c>
      <c r="E7" s="367" t="s">
        <v>254</v>
      </c>
    </row>
    <row r="8" spans="2:187" ht="16.5" thickBot="1" x14ac:dyDescent="0.3">
      <c r="B8" s="581" t="s">
        <v>288</v>
      </c>
      <c r="C8" s="366">
        <v>1720</v>
      </c>
      <c r="D8" s="371">
        <f>SUM(D4:D7)</f>
        <v>68030000</v>
      </c>
      <c r="E8" s="367" t="s">
        <v>256</v>
      </c>
    </row>
    <row r="9" spans="2:187" ht="16.5" thickBot="1" x14ac:dyDescent="0.3">
      <c r="B9" s="580" t="s">
        <v>289</v>
      </c>
      <c r="C9" s="366">
        <v>1493</v>
      </c>
      <c r="D9" s="487">
        <f>-'RAI Inicial y Final'!F14</f>
        <v>2580000</v>
      </c>
      <c r="E9" s="367" t="s">
        <v>255</v>
      </c>
    </row>
    <row r="10" spans="2:187" ht="16.5" thickBot="1" x14ac:dyDescent="0.3">
      <c r="B10" s="580" t="s">
        <v>579</v>
      </c>
      <c r="C10" s="366">
        <v>1494</v>
      </c>
      <c r="D10" s="487">
        <f>-'RAI Inicial y Final'!F15</f>
        <v>30600000</v>
      </c>
      <c r="E10" s="367" t="s">
        <v>255</v>
      </c>
      <c r="GE10" s="369" t="s">
        <v>323</v>
      </c>
    </row>
    <row r="11" spans="2:187" ht="18.75" customHeight="1" x14ac:dyDescent="0.25">
      <c r="B11" s="582" t="s">
        <v>290</v>
      </c>
      <c r="C11" s="366">
        <v>1725</v>
      </c>
      <c r="D11" s="368"/>
      <c r="E11" s="367" t="s">
        <v>255</v>
      </c>
    </row>
    <row r="12" spans="2:187" ht="16.5" thickBot="1" x14ac:dyDescent="0.3">
      <c r="B12" s="583" t="s">
        <v>580</v>
      </c>
      <c r="C12" s="576">
        <v>1727</v>
      </c>
      <c r="D12" s="577"/>
      <c r="E12" s="362" t="s">
        <v>255</v>
      </c>
    </row>
    <row r="13" spans="2:187" ht="33.75" customHeight="1" thickBot="1" x14ac:dyDescent="0.3">
      <c r="B13" s="588" t="s">
        <v>581</v>
      </c>
      <c r="C13" s="530">
        <v>1500</v>
      </c>
      <c r="D13" s="590">
        <f>+D8-SUM(D9:D12)</f>
        <v>34850000</v>
      </c>
      <c r="E13" s="589" t="s">
        <v>256</v>
      </c>
    </row>
    <row r="15" spans="2:187" x14ac:dyDescent="0.25">
      <c r="B15" s="525"/>
    </row>
    <row r="17" spans="2:2" x14ac:dyDescent="0.25">
      <c r="B17" s="369" t="s">
        <v>323</v>
      </c>
    </row>
  </sheetData>
  <mergeCells count="1">
    <mergeCell ref="B2:E3"/>
  </mergeCells>
  <pageMargins left="0.35" right="0.63" top="0.75" bottom="0.75" header="0.3" footer="0.3"/>
  <pageSetup paperSize="5"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F13"/>
  <sheetViews>
    <sheetView showGridLines="0" zoomScale="120" zoomScaleNormal="120" workbookViewId="0">
      <selection activeCell="F7" sqref="F7"/>
    </sheetView>
  </sheetViews>
  <sheetFormatPr baseColWidth="10" defaultColWidth="9.140625" defaultRowHeight="15" x14ac:dyDescent="0.25"/>
  <cols>
    <col min="1" max="1" width="2.5703125" style="1" customWidth="1"/>
    <col min="2" max="2" width="10" style="1" customWidth="1"/>
    <col min="3" max="3" width="24.42578125" style="1" customWidth="1"/>
    <col min="4" max="4" width="16.7109375" style="1" customWidth="1"/>
    <col min="5" max="5" width="14" style="1" customWidth="1"/>
    <col min="6" max="6" width="18.28515625" style="1" customWidth="1"/>
    <col min="7" max="8" width="15.85546875" style="1" customWidth="1"/>
    <col min="9" max="9" width="12.42578125" style="1" customWidth="1"/>
    <col min="10" max="10" width="2.42578125" style="1" customWidth="1"/>
    <col min="11" max="11" width="10.85546875" style="1" customWidth="1"/>
    <col min="12" max="12" width="11.85546875" style="1" customWidth="1"/>
    <col min="13" max="16384" width="9.140625" style="1"/>
  </cols>
  <sheetData>
    <row r="2" spans="1:6" ht="15.75" thickBot="1" x14ac:dyDescent="0.3"/>
    <row r="3" spans="1:6" ht="19.5" thickBot="1" x14ac:dyDescent="0.3">
      <c r="A3" s="172"/>
      <c r="B3" s="666" t="s">
        <v>225</v>
      </c>
      <c r="C3" s="667"/>
      <c r="D3" s="667"/>
      <c r="E3" s="667"/>
      <c r="F3" s="668"/>
    </row>
    <row r="4" spans="1:6" x14ac:dyDescent="0.25">
      <c r="B4" s="5"/>
      <c r="C4" s="6"/>
      <c r="D4" s="7"/>
      <c r="E4" s="4"/>
      <c r="F4" s="185" t="s">
        <v>13</v>
      </c>
    </row>
    <row r="5" spans="1:6" ht="15.75" x14ac:dyDescent="0.25">
      <c r="B5" s="321" t="s">
        <v>243</v>
      </c>
      <c r="C5" s="322"/>
      <c r="D5" s="323"/>
      <c r="E5" s="4"/>
      <c r="F5" s="325">
        <f>+Antecedentes!I68</f>
        <v>42600000</v>
      </c>
    </row>
    <row r="6" spans="1:6" ht="15.75" x14ac:dyDescent="0.25">
      <c r="B6" s="321" t="s">
        <v>197</v>
      </c>
      <c r="C6" s="324"/>
      <c r="D6" s="183"/>
      <c r="F6" s="325">
        <f>+'Base Imponible y 14E'!K38</f>
        <v>23000000</v>
      </c>
    </row>
    <row r="7" spans="1:6" ht="15.75" x14ac:dyDescent="0.25">
      <c r="B7" s="321" t="s">
        <v>162</v>
      </c>
      <c r="C7" s="324"/>
      <c r="D7" s="183"/>
      <c r="F7" s="325">
        <f>+Antecedentes!L37</f>
        <v>710000</v>
      </c>
    </row>
    <row r="8" spans="1:6" ht="16.5" thickBot="1" x14ac:dyDescent="0.3">
      <c r="B8" s="321" t="s">
        <v>244</v>
      </c>
      <c r="C8" s="322"/>
      <c r="D8" s="323"/>
      <c r="E8" s="4"/>
      <c r="F8" s="325">
        <f>-'RAI Inicial y Final'!F13</f>
        <v>-14000000</v>
      </c>
    </row>
    <row r="9" spans="1:6" ht="15.75" x14ac:dyDescent="0.25">
      <c r="B9" s="321" t="s">
        <v>245</v>
      </c>
      <c r="C9" s="322"/>
      <c r="D9" s="323"/>
      <c r="E9" s="4"/>
      <c r="F9" s="488">
        <f>-Antecedentes!L50</f>
        <v>-140000</v>
      </c>
    </row>
    <row r="10" spans="1:6" ht="16.5" thickBot="1" x14ac:dyDescent="0.3">
      <c r="B10" s="321" t="s">
        <v>246</v>
      </c>
      <c r="C10" s="322"/>
      <c r="D10" s="323"/>
      <c r="E10" s="4"/>
      <c r="F10" s="489">
        <f>-Antecedentes!L51</f>
        <v>-3500000</v>
      </c>
    </row>
    <row r="11" spans="1:6" ht="16.5" thickBot="1" x14ac:dyDescent="0.3">
      <c r="B11" s="321" t="s">
        <v>234</v>
      </c>
      <c r="C11" s="322"/>
      <c r="D11" s="323"/>
      <c r="E11" s="4"/>
      <c r="F11" s="486">
        <f>-'Base Imponible y 14E'!K36</f>
        <v>5360000</v>
      </c>
    </row>
    <row r="12" spans="1:6" ht="15.75" x14ac:dyDescent="0.25">
      <c r="B12" s="186" t="s">
        <v>224</v>
      </c>
      <c r="C12" s="187"/>
      <c r="D12" s="13"/>
      <c r="E12" s="22"/>
      <c r="F12" s="153">
        <f>SUM(F4:F11)</f>
        <v>54030000</v>
      </c>
    </row>
    <row r="13" spans="1:6" ht="15.75" x14ac:dyDescent="0.25">
      <c r="F13" s="183"/>
    </row>
  </sheetData>
  <mergeCells count="1">
    <mergeCell ref="B3:F3"/>
  </mergeCells>
  <pageMargins left="0.70866141732283472" right="0.70866141732283472" top="0.74803149606299213" bottom="0.74803149606299213" header="0.31496062992125984" footer="0.31496062992125984"/>
  <pageSetup paperSize="5" scale="12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E27"/>
  <sheetViews>
    <sheetView showGridLines="0" topLeftCell="A7" workbookViewId="0">
      <selection activeCell="B19" sqref="B19"/>
    </sheetView>
  </sheetViews>
  <sheetFormatPr baseColWidth="10" defaultColWidth="11.42578125" defaultRowHeight="15.75" x14ac:dyDescent="0.25"/>
  <cols>
    <col min="1" max="1" width="1.85546875" style="347" customWidth="1"/>
    <col min="2" max="2" width="92.42578125" style="347" bestFit="1" customWidth="1"/>
    <col min="3" max="3" width="5.5703125" style="347" bestFit="1" customWidth="1"/>
    <col min="4" max="4" width="15.140625" style="347" customWidth="1"/>
    <col min="5" max="19" width="4.7109375" style="347" customWidth="1"/>
    <col min="20" max="16384" width="11.42578125" style="347"/>
  </cols>
  <sheetData>
    <row r="1" spans="2:5" ht="16.5" thickBot="1" x14ac:dyDescent="0.3"/>
    <row r="2" spans="2:5" x14ac:dyDescent="0.25">
      <c r="B2" s="669" t="s">
        <v>582</v>
      </c>
      <c r="C2" s="670"/>
      <c r="D2" s="670"/>
      <c r="E2" s="671"/>
    </row>
    <row r="3" spans="2:5" ht="24" customHeight="1" thickBot="1" x14ac:dyDescent="0.3">
      <c r="B3" s="672"/>
      <c r="C3" s="673"/>
      <c r="D3" s="673"/>
      <c r="E3" s="674"/>
    </row>
    <row r="4" spans="2:5" x14ac:dyDescent="0.25">
      <c r="B4" s="563" t="s">
        <v>291</v>
      </c>
      <c r="C4" s="364">
        <v>1445</v>
      </c>
      <c r="D4" s="578">
        <f>+'CPT Simplificado'!F5</f>
        <v>42600000</v>
      </c>
      <c r="E4" s="362" t="s">
        <v>254</v>
      </c>
    </row>
    <row r="5" spans="2:5" x14ac:dyDescent="0.25">
      <c r="B5" s="555" t="s">
        <v>292</v>
      </c>
      <c r="C5" s="364">
        <v>1446</v>
      </c>
      <c r="D5" s="368"/>
      <c r="E5" s="367" t="s">
        <v>255</v>
      </c>
    </row>
    <row r="6" spans="2:5" x14ac:dyDescent="0.25">
      <c r="B6" s="555" t="s">
        <v>583</v>
      </c>
      <c r="C6" s="364">
        <v>1374</v>
      </c>
      <c r="D6" s="368"/>
      <c r="E6" s="367" t="s">
        <v>254</v>
      </c>
    </row>
    <row r="7" spans="2:5" x14ac:dyDescent="0.25">
      <c r="B7" s="555" t="s">
        <v>293</v>
      </c>
      <c r="C7" s="365">
        <v>1375</v>
      </c>
      <c r="D7" s="368"/>
      <c r="E7" s="367" t="s">
        <v>254</v>
      </c>
    </row>
    <row r="8" spans="2:5" x14ac:dyDescent="0.25">
      <c r="B8" s="555" t="s">
        <v>294</v>
      </c>
      <c r="C8" s="364">
        <v>1376</v>
      </c>
      <c r="D8" s="368"/>
      <c r="E8" s="367" t="s">
        <v>255</v>
      </c>
    </row>
    <row r="9" spans="2:5" x14ac:dyDescent="0.25">
      <c r="B9" s="555" t="s">
        <v>295</v>
      </c>
      <c r="C9" s="365">
        <v>1705</v>
      </c>
      <c r="D9" s="368">
        <f>+'CPT Simplificado'!F6</f>
        <v>23000000</v>
      </c>
      <c r="E9" s="367" t="s">
        <v>254</v>
      </c>
    </row>
    <row r="10" spans="2:5" ht="15.75" customHeight="1" x14ac:dyDescent="0.25">
      <c r="B10" s="555" t="s">
        <v>286</v>
      </c>
      <c r="C10" s="364">
        <v>1706</v>
      </c>
      <c r="D10" s="368"/>
      <c r="E10" s="367" t="s">
        <v>255</v>
      </c>
    </row>
    <row r="11" spans="2:5" ht="15.75" customHeight="1" x14ac:dyDescent="0.25">
      <c r="B11" s="555" t="s">
        <v>280</v>
      </c>
      <c r="C11" s="364">
        <v>1707</v>
      </c>
      <c r="D11" s="368"/>
      <c r="E11" s="367" t="s">
        <v>254</v>
      </c>
    </row>
    <row r="12" spans="2:5" ht="15.75" customHeight="1" x14ac:dyDescent="0.25">
      <c r="B12" s="584" t="s">
        <v>296</v>
      </c>
      <c r="C12" s="366">
        <v>1377</v>
      </c>
      <c r="D12" s="368"/>
      <c r="E12" s="367" t="s">
        <v>254</v>
      </c>
    </row>
    <row r="13" spans="2:5" ht="15.75" customHeight="1" x14ac:dyDescent="0.25">
      <c r="B13" s="555" t="s">
        <v>297</v>
      </c>
      <c r="C13" s="366">
        <v>1378</v>
      </c>
      <c r="D13" s="368"/>
      <c r="E13" s="367" t="s">
        <v>255</v>
      </c>
    </row>
    <row r="14" spans="2:5" ht="15.75" customHeight="1" x14ac:dyDescent="0.25">
      <c r="B14" s="555" t="s">
        <v>298</v>
      </c>
      <c r="C14" s="366">
        <v>1726</v>
      </c>
      <c r="D14" s="368">
        <f>+'CPT Simplificado'!F7</f>
        <v>710000</v>
      </c>
      <c r="E14" s="367" t="s">
        <v>254</v>
      </c>
    </row>
    <row r="15" spans="2:5" ht="15.75" customHeight="1" x14ac:dyDescent="0.25">
      <c r="B15" s="555" t="s">
        <v>299</v>
      </c>
      <c r="C15" s="366">
        <v>1591</v>
      </c>
      <c r="D15" s="368"/>
      <c r="E15" s="367" t="s">
        <v>255</v>
      </c>
    </row>
    <row r="16" spans="2:5" ht="15.75" customHeight="1" x14ac:dyDescent="0.25">
      <c r="B16" s="555" t="s">
        <v>586</v>
      </c>
      <c r="C16" s="366">
        <v>1479</v>
      </c>
      <c r="D16" s="368">
        <f>-'CPT Simplificado'!F8</f>
        <v>14000000</v>
      </c>
      <c r="E16" s="367" t="s">
        <v>255</v>
      </c>
    </row>
    <row r="17" spans="2:5" ht="15.75" customHeight="1" x14ac:dyDescent="0.25">
      <c r="B17" s="555" t="s">
        <v>584</v>
      </c>
      <c r="C17" s="366">
        <v>1708</v>
      </c>
      <c r="D17" s="368">
        <f>-'CPT Simplificado'!F9-'CPT Simplificado'!F10</f>
        <v>3640000</v>
      </c>
      <c r="E17" s="367" t="s">
        <v>255</v>
      </c>
    </row>
    <row r="18" spans="2:5" ht="33.75" customHeight="1" x14ac:dyDescent="0.25">
      <c r="B18" s="555" t="s">
        <v>573</v>
      </c>
      <c r="C18" s="366">
        <v>1709</v>
      </c>
      <c r="D18" s="368"/>
      <c r="E18" s="367" t="s">
        <v>255</v>
      </c>
    </row>
    <row r="19" spans="2:5" ht="15.75" customHeight="1" x14ac:dyDescent="0.25">
      <c r="B19" s="555" t="s">
        <v>300</v>
      </c>
      <c r="C19" s="366">
        <v>1379</v>
      </c>
      <c r="D19" s="368"/>
      <c r="E19" s="367" t="s">
        <v>255</v>
      </c>
    </row>
    <row r="20" spans="2:5" ht="15.75" customHeight="1" x14ac:dyDescent="0.25">
      <c r="B20" s="555" t="s">
        <v>283</v>
      </c>
      <c r="C20" s="366">
        <v>1710</v>
      </c>
      <c r="D20" s="368">
        <f>+'CPT Simplificado'!F11</f>
        <v>5360000</v>
      </c>
      <c r="E20" s="367" t="s">
        <v>254</v>
      </c>
    </row>
    <row r="21" spans="2:5" ht="15.75" customHeight="1" x14ac:dyDescent="0.25">
      <c r="B21" s="555" t="s">
        <v>301</v>
      </c>
      <c r="C21" s="366">
        <v>1711</v>
      </c>
      <c r="D21" s="368"/>
      <c r="E21" s="367" t="s">
        <v>254</v>
      </c>
    </row>
    <row r="22" spans="2:5" ht="15.75" customHeight="1" x14ac:dyDescent="0.25">
      <c r="B22" s="555" t="s">
        <v>302</v>
      </c>
      <c r="C22" s="366">
        <v>1380</v>
      </c>
      <c r="D22" s="368"/>
      <c r="E22" s="367" t="s">
        <v>254</v>
      </c>
    </row>
    <row r="23" spans="2:5" ht="15.75" customHeight="1" thickBot="1" x14ac:dyDescent="0.3">
      <c r="B23" s="559" t="s">
        <v>303</v>
      </c>
      <c r="C23" s="576">
        <v>1381</v>
      </c>
      <c r="D23" s="577"/>
      <c r="E23" s="357" t="s">
        <v>255</v>
      </c>
    </row>
    <row r="24" spans="2:5" ht="16.5" thickBot="1" x14ac:dyDescent="0.3">
      <c r="B24" s="592" t="s">
        <v>576</v>
      </c>
      <c r="C24" s="587">
        <v>1545</v>
      </c>
      <c r="D24" s="586">
        <f>+D4+D9+D14-D16-D17+D20</f>
        <v>54030000</v>
      </c>
      <c r="E24" s="531" t="s">
        <v>256</v>
      </c>
    </row>
    <row r="25" spans="2:5" ht="16.5" thickBot="1" x14ac:dyDescent="0.3">
      <c r="B25" s="592" t="s">
        <v>585</v>
      </c>
      <c r="C25" s="532">
        <v>1546</v>
      </c>
      <c r="D25" s="585"/>
      <c r="E25" s="531" t="s">
        <v>256</v>
      </c>
    </row>
    <row r="27" spans="2:5" x14ac:dyDescent="0.25">
      <c r="B27" s="525"/>
    </row>
  </sheetData>
  <mergeCells count="1">
    <mergeCell ref="B2:E3"/>
  </mergeCells>
  <pageMargins left="0.70866141732283472" right="0.70866141732283472" top="0.74803149606299213" bottom="0.74803149606299213" header="0.31496062992125984" footer="0.31496062992125984"/>
  <pageSetup paperSize="5" scale="11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N23"/>
  <sheetViews>
    <sheetView showGridLines="0" view="pageBreakPreview" topLeftCell="A11" zoomScale="91" zoomScaleNormal="90" zoomScaleSheetLayoutView="91" workbookViewId="0">
      <selection activeCell="K8" sqref="K8"/>
    </sheetView>
  </sheetViews>
  <sheetFormatPr baseColWidth="10" defaultColWidth="9.140625" defaultRowHeight="15" x14ac:dyDescent="0.25"/>
  <cols>
    <col min="1" max="1" width="2.28515625" style="1" customWidth="1"/>
    <col min="2" max="2" width="10" style="1" customWidth="1"/>
    <col min="3" max="3" width="14.28515625" style="1" customWidth="1"/>
    <col min="4" max="4" width="16.7109375" style="1" customWidth="1"/>
    <col min="5" max="5" width="14" style="1" customWidth="1"/>
    <col min="6" max="7" width="17.140625" style="1" customWidth="1"/>
    <col min="8" max="8" width="17" style="1" customWidth="1"/>
    <col min="9" max="9" width="13.28515625" style="1" customWidth="1"/>
    <col min="10" max="10" width="15.5703125" style="1" customWidth="1"/>
    <col min="11" max="11" width="13.42578125" style="1" customWidth="1"/>
    <col min="12" max="12" width="14" style="1" customWidth="1"/>
    <col min="13" max="13" width="11.85546875" style="1" customWidth="1"/>
    <col min="14" max="14" width="10.42578125" style="1" bestFit="1" customWidth="1"/>
    <col min="15" max="16384" width="9.140625" style="1"/>
  </cols>
  <sheetData>
    <row r="3" spans="1:13" ht="26.25" x14ac:dyDescent="0.4">
      <c r="B3" s="520" t="s">
        <v>558</v>
      </c>
    </row>
    <row r="4" spans="1:13" ht="18.75" x14ac:dyDescent="0.25">
      <c r="A4" s="172"/>
      <c r="C4" s="2"/>
      <c r="D4" s="2"/>
      <c r="E4" s="2"/>
      <c r="F4" s="3"/>
      <c r="G4" s="3"/>
      <c r="H4" s="3"/>
      <c r="I4" s="3"/>
      <c r="J4" s="3"/>
      <c r="K4" s="3"/>
      <c r="L4" s="3"/>
    </row>
    <row r="5" spans="1:13" ht="14.25" customHeight="1" x14ac:dyDescent="0.25">
      <c r="B5" s="675" t="s">
        <v>4</v>
      </c>
      <c r="C5" s="676"/>
      <c r="D5" s="676"/>
      <c r="E5" s="677"/>
      <c r="F5" s="684" t="s">
        <v>14</v>
      </c>
      <c r="G5" s="687" t="s">
        <v>0</v>
      </c>
      <c r="H5" s="687" t="s">
        <v>1</v>
      </c>
      <c r="I5" s="687"/>
      <c r="J5" s="687" t="s">
        <v>3</v>
      </c>
      <c r="K5" s="687"/>
      <c r="L5" s="687"/>
      <c r="M5" s="687"/>
    </row>
    <row r="6" spans="1:13" ht="47.25" x14ac:dyDescent="0.25">
      <c r="B6" s="678"/>
      <c r="C6" s="679"/>
      <c r="D6" s="679"/>
      <c r="E6" s="680"/>
      <c r="F6" s="685"/>
      <c r="G6" s="687"/>
      <c r="H6" s="688" t="s">
        <v>142</v>
      </c>
      <c r="I6" s="688" t="s">
        <v>124</v>
      </c>
      <c r="J6" s="688" t="s">
        <v>5</v>
      </c>
      <c r="K6" s="688"/>
      <c r="L6" s="333" t="s">
        <v>6</v>
      </c>
      <c r="M6" s="687" t="s">
        <v>7</v>
      </c>
    </row>
    <row r="7" spans="1:13" ht="31.5" x14ac:dyDescent="0.25">
      <c r="B7" s="678"/>
      <c r="C7" s="679"/>
      <c r="D7" s="679"/>
      <c r="E7" s="680"/>
      <c r="F7" s="685"/>
      <c r="G7" s="687"/>
      <c r="H7" s="688"/>
      <c r="I7" s="688"/>
      <c r="J7" s="688" t="s">
        <v>8</v>
      </c>
      <c r="K7" s="688"/>
      <c r="L7" s="333" t="s">
        <v>8</v>
      </c>
      <c r="M7" s="687"/>
    </row>
    <row r="8" spans="1:13" ht="15.75" x14ac:dyDescent="0.25">
      <c r="B8" s="678"/>
      <c r="C8" s="679"/>
      <c r="D8" s="679"/>
      <c r="E8" s="680"/>
      <c r="F8" s="685"/>
      <c r="G8" s="687"/>
      <c r="H8" s="688"/>
      <c r="I8" s="688"/>
      <c r="J8" s="334" t="s">
        <v>9</v>
      </c>
      <c r="K8" s="335">
        <v>0.111111</v>
      </c>
      <c r="L8" s="335">
        <f>+Antecedentes!I34</f>
        <v>0.22874700000000001</v>
      </c>
      <c r="M8" s="687"/>
    </row>
    <row r="9" spans="1:13" ht="31.5" x14ac:dyDescent="0.25">
      <c r="B9" s="678"/>
      <c r="C9" s="679"/>
      <c r="D9" s="679"/>
      <c r="E9" s="680"/>
      <c r="F9" s="685"/>
      <c r="G9" s="687"/>
      <c r="H9" s="688"/>
      <c r="I9" s="688"/>
      <c r="J9" s="334" t="s">
        <v>10</v>
      </c>
      <c r="K9" s="334" t="s">
        <v>11</v>
      </c>
      <c r="L9" s="688" t="s">
        <v>12</v>
      </c>
      <c r="M9" s="687"/>
    </row>
    <row r="10" spans="1:13" ht="31.5" x14ac:dyDescent="0.25">
      <c r="B10" s="681"/>
      <c r="C10" s="682"/>
      <c r="D10" s="682"/>
      <c r="E10" s="683"/>
      <c r="F10" s="686"/>
      <c r="G10" s="687"/>
      <c r="H10" s="688"/>
      <c r="I10" s="688"/>
      <c r="J10" s="334" t="s">
        <v>12</v>
      </c>
      <c r="K10" s="334" t="s">
        <v>12</v>
      </c>
      <c r="L10" s="688"/>
      <c r="M10" s="687"/>
    </row>
    <row r="11" spans="1:13" ht="15.75" x14ac:dyDescent="0.25">
      <c r="B11" s="132" t="s">
        <v>553</v>
      </c>
      <c r="C11" s="7"/>
      <c r="D11" s="7"/>
      <c r="F11" s="336">
        <f t="shared" ref="F11:F17" si="0">SUM(G11:I11)</f>
        <v>12000000</v>
      </c>
      <c r="G11" s="336">
        <f>+'RAI Inicial y Final'!F7</f>
        <v>6000000</v>
      </c>
      <c r="H11" s="336">
        <f>+Antecedentes!E81</f>
        <v>6000000</v>
      </c>
      <c r="I11" s="336">
        <v>0</v>
      </c>
      <c r="J11" s="336">
        <v>0</v>
      </c>
      <c r="K11" s="336">
        <f>+Antecedentes!F81</f>
        <v>0</v>
      </c>
      <c r="L11" s="336">
        <v>0</v>
      </c>
      <c r="M11" s="336">
        <f>+Antecedentes!H81</f>
        <v>0</v>
      </c>
    </row>
    <row r="12" spans="1:13" ht="15.75" x14ac:dyDescent="0.25">
      <c r="B12" s="8" t="s">
        <v>199</v>
      </c>
      <c r="C12" s="11"/>
      <c r="D12" s="11"/>
      <c r="E12" s="131"/>
      <c r="F12" s="337">
        <f t="shared" si="0"/>
        <v>-3500000</v>
      </c>
      <c r="G12" s="337"/>
      <c r="H12" s="524">
        <f>-Antecedentes!L51</f>
        <v>-3500000</v>
      </c>
      <c r="I12" s="337"/>
      <c r="J12" s="337"/>
      <c r="K12" s="337"/>
      <c r="L12" s="337"/>
      <c r="M12" s="337"/>
    </row>
    <row r="13" spans="1:13" ht="15.75" x14ac:dyDescent="0.25">
      <c r="B13" s="9" t="s">
        <v>200</v>
      </c>
      <c r="C13" s="10"/>
      <c r="D13" s="10"/>
      <c r="E13" s="130"/>
      <c r="F13" s="338">
        <f t="shared" si="0"/>
        <v>-6000000</v>
      </c>
      <c r="G13" s="338">
        <f>-G11</f>
        <v>-6000000</v>
      </c>
      <c r="H13" s="338"/>
      <c r="I13" s="338"/>
      <c r="J13" s="338"/>
      <c r="K13" s="338"/>
      <c r="L13" s="338"/>
      <c r="M13" s="338"/>
    </row>
    <row r="14" spans="1:13" ht="36.75" customHeight="1" x14ac:dyDescent="0.25">
      <c r="B14" s="9" t="s">
        <v>201</v>
      </c>
      <c r="C14" s="10"/>
      <c r="D14" s="10"/>
      <c r="E14" s="130"/>
      <c r="F14" s="338">
        <f t="shared" si="0"/>
        <v>34850000</v>
      </c>
      <c r="G14" s="338">
        <v>34850000</v>
      </c>
      <c r="H14" s="338"/>
      <c r="I14" s="338"/>
      <c r="J14" s="338"/>
      <c r="K14" s="338"/>
      <c r="L14" s="338"/>
      <c r="M14" s="338"/>
    </row>
    <row r="15" spans="1:13" ht="15.75" x14ac:dyDescent="0.25">
      <c r="B15" s="9" t="s">
        <v>202</v>
      </c>
      <c r="C15" s="10"/>
      <c r="D15" s="10"/>
      <c r="E15" s="130"/>
      <c r="F15" s="338">
        <f t="shared" si="0"/>
        <v>80000</v>
      </c>
      <c r="G15" s="338"/>
      <c r="H15" s="338"/>
      <c r="I15" s="338">
        <f>+Antecedentes!L36</f>
        <v>80000</v>
      </c>
      <c r="J15" s="338"/>
      <c r="K15" s="338"/>
      <c r="L15" s="338"/>
      <c r="M15" s="338"/>
    </row>
    <row r="16" spans="1:13" ht="15.75" x14ac:dyDescent="0.25">
      <c r="B16" s="292" t="s">
        <v>203</v>
      </c>
      <c r="C16" s="10"/>
      <c r="D16" s="10"/>
      <c r="E16" s="342">
        <f>+'Base Imponible y 14E'!K38</f>
        <v>23000000</v>
      </c>
      <c r="F16" s="338">
        <f t="shared" si="0"/>
        <v>0</v>
      </c>
      <c r="G16" s="338"/>
      <c r="H16" s="338"/>
      <c r="I16" s="338"/>
      <c r="J16" s="338">
        <f>+'Base Imponible y 14E'!K39</f>
        <v>2300000</v>
      </c>
      <c r="K16" s="338"/>
      <c r="L16" s="338"/>
      <c r="M16" s="338"/>
    </row>
    <row r="17" spans="2:14" ht="15.75" x14ac:dyDescent="0.25">
      <c r="B17" s="292" t="s">
        <v>237</v>
      </c>
      <c r="C17" s="10"/>
      <c r="D17" s="10"/>
      <c r="E17" s="342"/>
      <c r="F17" s="338">
        <f t="shared" si="0"/>
        <v>0</v>
      </c>
      <c r="G17" s="338"/>
      <c r="H17" s="338"/>
      <c r="I17" s="338"/>
      <c r="J17" s="338">
        <f>+Antecedentes!J33</f>
        <v>22222</v>
      </c>
      <c r="K17" s="338">
        <f>+Antecedentes!J32</f>
        <v>92466</v>
      </c>
      <c r="L17" s="339">
        <f>+Antecedentes!J34</f>
        <v>34312</v>
      </c>
      <c r="M17" s="492">
        <f>+Antecedentes!L34</f>
        <v>150000</v>
      </c>
      <c r="N17" s="490"/>
    </row>
    <row r="18" spans="2:14" ht="15.75" x14ac:dyDescent="0.25">
      <c r="B18" s="15" t="s">
        <v>238</v>
      </c>
      <c r="C18" s="14"/>
      <c r="D18" s="14"/>
      <c r="E18" s="343"/>
      <c r="F18" s="340">
        <f>SUM(F11:F17)</f>
        <v>37430000</v>
      </c>
      <c r="G18" s="340">
        <f>SUM(G11:G17)</f>
        <v>34850000</v>
      </c>
      <c r="H18" s="340">
        <f>SUM(H11:H17)</f>
        <v>2500000</v>
      </c>
      <c r="I18" s="340">
        <f>SUM(I11:I17)</f>
        <v>80000</v>
      </c>
      <c r="J18" s="340">
        <f t="shared" ref="J18:M18" si="1">SUM(J11:J17)</f>
        <v>2322222</v>
      </c>
      <c r="K18" s="340">
        <f t="shared" si="1"/>
        <v>92466</v>
      </c>
      <c r="L18" s="340">
        <f t="shared" si="1"/>
        <v>34312</v>
      </c>
      <c r="M18" s="340">
        <f t="shared" si="1"/>
        <v>150000</v>
      </c>
    </row>
    <row r="19" spans="2:14" ht="15.75" x14ac:dyDescent="0.25">
      <c r="B19" s="521" t="s">
        <v>559</v>
      </c>
      <c r="C19" s="10"/>
      <c r="D19" s="10"/>
      <c r="E19" s="342"/>
      <c r="F19" s="338">
        <f>SUM(G19:I19)</f>
        <v>0</v>
      </c>
      <c r="G19" s="338">
        <v>0</v>
      </c>
      <c r="H19" s="338">
        <v>0</v>
      </c>
      <c r="I19" s="338"/>
      <c r="J19" s="338"/>
      <c r="K19" s="338"/>
      <c r="L19" s="338"/>
      <c r="M19" s="338"/>
    </row>
    <row r="20" spans="2:14" ht="15.75" x14ac:dyDescent="0.25">
      <c r="B20" s="9" t="str">
        <f>+Antecedentes!C99</f>
        <v>Socio Sr. Ortiz</v>
      </c>
      <c r="C20" s="155"/>
      <c r="D20" s="491">
        <f>+Antecedentes!D99</f>
        <v>44124</v>
      </c>
      <c r="E20" s="342">
        <f>+Antecedentes!E99</f>
        <v>7000000</v>
      </c>
      <c r="F20" s="338">
        <f>SUM(G20:I20)</f>
        <v>-7000000</v>
      </c>
      <c r="G20" s="338">
        <v>-4500000</v>
      </c>
      <c r="H20" s="492">
        <f>-H18</f>
        <v>-2500000</v>
      </c>
      <c r="I20" s="338"/>
      <c r="J20" s="338">
        <f>ROUND(G20*K8,0)</f>
        <v>-500000</v>
      </c>
      <c r="K20" s="338"/>
      <c r="L20" s="338"/>
      <c r="M20" s="338"/>
    </row>
    <row r="21" spans="2:14" ht="16.5" thickBot="1" x14ac:dyDescent="0.3">
      <c r="B21" s="9" t="str">
        <f>+Antecedentes!C100</f>
        <v xml:space="preserve">Socio Sr. Escudero </v>
      </c>
      <c r="C21" s="155"/>
      <c r="D21" s="491">
        <f>+Antecedentes!D100</f>
        <v>44155</v>
      </c>
      <c r="E21" s="342">
        <f>+Antecedentes!E100</f>
        <v>7000000</v>
      </c>
      <c r="F21" s="338">
        <f>SUM(G21:I21)</f>
        <v>-7000000</v>
      </c>
      <c r="G21" s="338">
        <v>-7000000</v>
      </c>
      <c r="H21" s="338"/>
      <c r="I21" s="338"/>
      <c r="J21" s="338">
        <f>ROUND(G21*K8,0)</f>
        <v>-777777</v>
      </c>
      <c r="K21" s="338"/>
      <c r="L21" s="338"/>
      <c r="M21" s="338"/>
    </row>
    <row r="22" spans="2:14" ht="16.5" thickBot="1" x14ac:dyDescent="0.3">
      <c r="B22" s="9" t="s">
        <v>241</v>
      </c>
      <c r="C22" s="10"/>
      <c r="D22" s="10"/>
      <c r="E22" s="344">
        <f>+Antecedentes!L50</f>
        <v>140000</v>
      </c>
      <c r="F22" s="338">
        <f>SUM(G22:I22)</f>
        <v>0</v>
      </c>
      <c r="G22" s="338"/>
      <c r="H22" s="338"/>
      <c r="I22" s="338"/>
      <c r="J22" s="486">
        <f>-ROUND(E22*K8,0)</f>
        <v>-15556</v>
      </c>
      <c r="K22" s="338"/>
      <c r="L22" s="338"/>
      <c r="M22" s="338"/>
    </row>
    <row r="23" spans="2:14" ht="15.75" x14ac:dyDescent="0.25">
      <c r="B23" s="12" t="s">
        <v>123</v>
      </c>
      <c r="C23" s="13"/>
      <c r="D23" s="13"/>
      <c r="E23" s="133"/>
      <c r="F23" s="341">
        <f t="shared" ref="F23:M23" si="2">SUM(F18:F22)</f>
        <v>23430000</v>
      </c>
      <c r="G23" s="341">
        <f t="shared" si="2"/>
        <v>23350000</v>
      </c>
      <c r="H23" s="341">
        <f t="shared" si="2"/>
        <v>0</v>
      </c>
      <c r="I23" s="341">
        <f t="shared" si="2"/>
        <v>80000</v>
      </c>
      <c r="J23" s="341">
        <f t="shared" si="2"/>
        <v>1028889</v>
      </c>
      <c r="K23" s="341">
        <f t="shared" si="2"/>
        <v>92466</v>
      </c>
      <c r="L23" s="341">
        <f t="shared" si="2"/>
        <v>34312</v>
      </c>
      <c r="M23" s="341">
        <f t="shared" si="2"/>
        <v>150000</v>
      </c>
    </row>
  </sheetData>
  <mergeCells count="11">
    <mergeCell ref="B5:E10"/>
    <mergeCell ref="F5:F10"/>
    <mergeCell ref="G5:G10"/>
    <mergeCell ref="H5:I5"/>
    <mergeCell ref="J5:M5"/>
    <mergeCell ref="H6:H10"/>
    <mergeCell ref="I6:I10"/>
    <mergeCell ref="J6:K6"/>
    <mergeCell ref="M6:M10"/>
    <mergeCell ref="J7:K7"/>
    <mergeCell ref="L9:L10"/>
  </mergeCells>
  <pageMargins left="0.22" right="0.62992125984251968" top="0.55118110236220474" bottom="0.74803149606299213" header="0.31496062992125984" footer="0.31496062992125984"/>
  <pageSetup paperSize="5" scale="74" orientation="landscape" r:id="rId1"/>
  <ignoredErrors>
    <ignoredError sqref="F1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Q19"/>
  <sheetViews>
    <sheetView showGridLines="0" workbookViewId="0">
      <selection activeCell="G4" sqref="G4:J4"/>
    </sheetView>
  </sheetViews>
  <sheetFormatPr baseColWidth="10" defaultColWidth="11.42578125" defaultRowHeight="15.75" x14ac:dyDescent="0.25"/>
  <cols>
    <col min="1" max="1" width="1.85546875" style="347" customWidth="1"/>
    <col min="2" max="2" width="55.85546875" style="347" customWidth="1"/>
    <col min="3" max="3" width="8" style="347" customWidth="1"/>
    <col min="4" max="4" width="13.7109375" style="347" customWidth="1"/>
    <col min="5" max="5" width="5.5703125" style="347" bestFit="1" customWidth="1"/>
    <col min="6" max="6" width="12.28515625" style="347" customWidth="1"/>
    <col min="7" max="7" width="5.5703125" style="347" bestFit="1" customWidth="1"/>
    <col min="8" max="8" width="11.42578125" style="347" customWidth="1"/>
    <col min="9" max="9" width="5.5703125" style="347" bestFit="1" customWidth="1"/>
    <col min="10" max="10" width="10.7109375" style="347" customWidth="1"/>
    <col min="11" max="11" width="5.5703125" style="347" bestFit="1" customWidth="1"/>
    <col min="12" max="12" width="11.7109375" style="347" customWidth="1"/>
    <col min="13" max="13" width="5.5703125" style="347" bestFit="1" customWidth="1"/>
    <col min="14" max="14" width="10.42578125" style="347" customWidth="1"/>
    <col min="15" max="15" width="11.42578125" style="347"/>
    <col min="16" max="16" width="10.28515625" style="347" customWidth="1"/>
    <col min="17" max="17" width="5.28515625" style="347" customWidth="1"/>
    <col min="18" max="16384" width="11.42578125" style="347"/>
  </cols>
  <sheetData>
    <row r="1" spans="2:17" ht="16.5" thickBot="1" x14ac:dyDescent="0.3"/>
    <row r="2" spans="2:17" ht="16.5" thickBot="1" x14ac:dyDescent="0.3">
      <c r="B2" s="689" t="s">
        <v>587</v>
      </c>
      <c r="C2" s="654" t="s">
        <v>0</v>
      </c>
      <c r="D2" s="655"/>
      <c r="E2" s="693" t="s">
        <v>1</v>
      </c>
      <c r="F2" s="694"/>
      <c r="G2" s="694"/>
      <c r="H2" s="694"/>
      <c r="I2" s="694"/>
      <c r="J2" s="694"/>
      <c r="K2" s="694"/>
      <c r="L2" s="694"/>
      <c r="M2" s="694"/>
      <c r="N2" s="694"/>
      <c r="O2" s="695" t="s">
        <v>7</v>
      </c>
      <c r="P2" s="696"/>
      <c r="Q2" s="373"/>
    </row>
    <row r="3" spans="2:17" ht="16.5" thickBot="1" x14ac:dyDescent="0.3">
      <c r="B3" s="690"/>
      <c r="C3" s="691"/>
      <c r="D3" s="692"/>
      <c r="E3" s="701" t="s">
        <v>304</v>
      </c>
      <c r="F3" s="702"/>
      <c r="G3" s="702"/>
      <c r="H3" s="702"/>
      <c r="I3" s="702"/>
      <c r="J3" s="702"/>
      <c r="K3" s="695" t="s">
        <v>305</v>
      </c>
      <c r="L3" s="696"/>
      <c r="M3" s="695" t="s">
        <v>306</v>
      </c>
      <c r="N3" s="696"/>
      <c r="O3" s="697"/>
      <c r="P3" s="698"/>
      <c r="Q3" s="374"/>
    </row>
    <row r="4" spans="2:17" ht="63.75" customHeight="1" thickBot="1" x14ac:dyDescent="0.3">
      <c r="B4" s="690"/>
      <c r="C4" s="657"/>
      <c r="D4" s="658"/>
      <c r="E4" s="703" t="s">
        <v>588</v>
      </c>
      <c r="F4" s="704"/>
      <c r="G4" s="701" t="s">
        <v>307</v>
      </c>
      <c r="H4" s="702"/>
      <c r="I4" s="701" t="s">
        <v>308</v>
      </c>
      <c r="J4" s="702"/>
      <c r="K4" s="697"/>
      <c r="L4" s="698"/>
      <c r="M4" s="699"/>
      <c r="N4" s="700"/>
      <c r="O4" s="699"/>
      <c r="P4" s="700"/>
      <c r="Q4" s="375"/>
    </row>
    <row r="5" spans="2:17" ht="31.5" x14ac:dyDescent="0.25">
      <c r="B5" s="593" t="s">
        <v>589</v>
      </c>
      <c r="C5" s="363">
        <v>1451</v>
      </c>
      <c r="D5" s="399">
        <f>+RTRE!G11</f>
        <v>6000000</v>
      </c>
      <c r="E5" s="361">
        <v>1452</v>
      </c>
      <c r="F5" s="399">
        <f>+RTRE!H11</f>
        <v>6000000</v>
      </c>
      <c r="G5" s="361">
        <v>1752</v>
      </c>
      <c r="H5" s="399"/>
      <c r="I5" s="358">
        <v>1753</v>
      </c>
      <c r="J5" s="399"/>
      <c r="K5" s="361">
        <v>1453</v>
      </c>
      <c r="L5" s="397"/>
      <c r="M5" s="376">
        <v>1454</v>
      </c>
      <c r="N5" s="397"/>
      <c r="O5" s="376">
        <v>1382</v>
      </c>
      <c r="P5" s="393"/>
      <c r="Q5" s="353" t="s">
        <v>254</v>
      </c>
    </row>
    <row r="6" spans="2:17" ht="31.5" x14ac:dyDescent="0.25">
      <c r="B6" s="593" t="s">
        <v>590</v>
      </c>
      <c r="C6" s="591"/>
      <c r="D6" s="401"/>
      <c r="E6" s="359">
        <v>1589</v>
      </c>
      <c r="F6" s="400"/>
      <c r="G6" s="377"/>
      <c r="H6" s="401"/>
      <c r="I6" s="359">
        <v>1754</v>
      </c>
      <c r="J6" s="400"/>
      <c r="K6" s="359">
        <v>1455</v>
      </c>
      <c r="L6" s="395"/>
      <c r="M6" s="359">
        <v>1456</v>
      </c>
      <c r="N6" s="395"/>
      <c r="O6" s="378"/>
      <c r="P6" s="394"/>
      <c r="Q6" s="355" t="s">
        <v>255</v>
      </c>
    </row>
    <row r="7" spans="2:17" x14ac:dyDescent="0.25">
      <c r="B7" s="593" t="s">
        <v>591</v>
      </c>
      <c r="C7" s="366">
        <v>1457</v>
      </c>
      <c r="D7" s="400"/>
      <c r="E7" s="377"/>
      <c r="F7" s="401"/>
      <c r="G7" s="359">
        <v>1458</v>
      </c>
      <c r="H7" s="400"/>
      <c r="I7" s="379"/>
      <c r="J7" s="401"/>
      <c r="K7" s="377"/>
      <c r="L7" s="394"/>
      <c r="M7" s="377"/>
      <c r="N7" s="394"/>
      <c r="O7" s="354">
        <v>1383</v>
      </c>
      <c r="P7" s="395"/>
      <c r="Q7" s="355" t="s">
        <v>255</v>
      </c>
    </row>
    <row r="8" spans="2:17" x14ac:dyDescent="0.25">
      <c r="B8" s="593" t="s">
        <v>309</v>
      </c>
      <c r="C8" s="366">
        <v>1392</v>
      </c>
      <c r="D8" s="395"/>
      <c r="E8" s="359">
        <v>1393</v>
      </c>
      <c r="F8" s="400"/>
      <c r="G8" s="359">
        <v>1755</v>
      </c>
      <c r="H8" s="400"/>
      <c r="I8" s="359">
        <v>1756</v>
      </c>
      <c r="J8" s="400"/>
      <c r="K8" s="359">
        <v>1394</v>
      </c>
      <c r="L8" s="395"/>
      <c r="M8" s="359">
        <v>1395</v>
      </c>
      <c r="N8" s="395"/>
      <c r="O8" s="354">
        <v>1384</v>
      </c>
      <c r="P8" s="395"/>
      <c r="Q8" s="355" t="s">
        <v>254</v>
      </c>
    </row>
    <row r="9" spans="2:17" x14ac:dyDescent="0.25">
      <c r="B9" s="593" t="s">
        <v>310</v>
      </c>
      <c r="C9" s="366">
        <v>1396</v>
      </c>
      <c r="D9" s="395"/>
      <c r="E9" s="359">
        <v>1397</v>
      </c>
      <c r="F9" s="400"/>
      <c r="G9" s="359">
        <v>1757</v>
      </c>
      <c r="H9" s="400"/>
      <c r="I9" s="359">
        <v>1758</v>
      </c>
      <c r="J9" s="400"/>
      <c r="K9" s="359">
        <v>1398</v>
      </c>
      <c r="L9" s="395"/>
      <c r="M9" s="359">
        <v>1399</v>
      </c>
      <c r="N9" s="395"/>
      <c r="O9" s="354">
        <v>1385</v>
      </c>
      <c r="P9" s="395"/>
      <c r="Q9" s="355" t="s">
        <v>255</v>
      </c>
    </row>
    <row r="10" spans="2:17" x14ac:dyDescent="0.25">
      <c r="B10" s="593" t="s">
        <v>592</v>
      </c>
      <c r="C10" s="366">
        <v>1459</v>
      </c>
      <c r="D10" s="522">
        <f>-RTRE!G13</f>
        <v>6000000</v>
      </c>
      <c r="E10" s="359">
        <v>1460</v>
      </c>
      <c r="F10" s="523">
        <f>-RTRE!H12</f>
        <v>3500000</v>
      </c>
      <c r="G10" s="359">
        <v>1759</v>
      </c>
      <c r="H10" s="400"/>
      <c r="I10" s="359">
        <v>1760</v>
      </c>
      <c r="J10" s="400"/>
      <c r="K10" s="359">
        <v>1461</v>
      </c>
      <c r="L10" s="395"/>
      <c r="M10" s="359">
        <v>1462</v>
      </c>
      <c r="N10" s="395"/>
      <c r="O10" s="354">
        <v>1386</v>
      </c>
      <c r="P10" s="395"/>
      <c r="Q10" s="355" t="s">
        <v>255</v>
      </c>
    </row>
    <row r="11" spans="2:17" x14ac:dyDescent="0.25">
      <c r="B11" s="593" t="s">
        <v>311</v>
      </c>
      <c r="C11" s="366">
        <v>1463</v>
      </c>
      <c r="D11" s="522">
        <f>+RTRE!G14</f>
        <v>34850000</v>
      </c>
      <c r="E11" s="359">
        <v>1464</v>
      </c>
      <c r="F11" s="400"/>
      <c r="G11" s="359">
        <v>1761</v>
      </c>
      <c r="H11" s="400"/>
      <c r="I11" s="359">
        <v>1762</v>
      </c>
      <c r="J11" s="400"/>
      <c r="K11" s="359">
        <v>1465</v>
      </c>
      <c r="L11" s="395"/>
      <c r="M11" s="359">
        <v>1466</v>
      </c>
      <c r="N11" s="395"/>
      <c r="O11" s="378"/>
      <c r="P11" s="394"/>
      <c r="Q11" s="355" t="s">
        <v>254</v>
      </c>
    </row>
    <row r="12" spans="2:17" x14ac:dyDescent="0.25">
      <c r="B12" s="593" t="s">
        <v>312</v>
      </c>
      <c r="C12" s="366">
        <v>1467</v>
      </c>
      <c r="D12" s="395"/>
      <c r="E12" s="359">
        <v>1468</v>
      </c>
      <c r="F12" s="400"/>
      <c r="G12" s="359">
        <v>1763</v>
      </c>
      <c r="H12" s="400"/>
      <c r="I12" s="359">
        <v>1764</v>
      </c>
      <c r="J12" s="400"/>
      <c r="K12" s="359">
        <v>1469</v>
      </c>
      <c r="L12" s="395"/>
      <c r="M12" s="359">
        <v>1470</v>
      </c>
      <c r="N12" s="522">
        <f>+RTRE!I15</f>
        <v>80000</v>
      </c>
      <c r="O12" s="354">
        <v>1387</v>
      </c>
      <c r="P12" s="395">
        <f>+RTRE!M18</f>
        <v>150000</v>
      </c>
      <c r="Q12" s="355" t="s">
        <v>254</v>
      </c>
    </row>
    <row r="13" spans="2:17" x14ac:dyDescent="0.25">
      <c r="B13" s="593" t="s">
        <v>313</v>
      </c>
      <c r="C13" s="366">
        <v>1471</v>
      </c>
      <c r="D13" s="395"/>
      <c r="E13" s="359">
        <v>1472</v>
      </c>
      <c r="F13" s="400"/>
      <c r="G13" s="359">
        <v>1765</v>
      </c>
      <c r="H13" s="400"/>
      <c r="I13" s="359">
        <v>1766</v>
      </c>
      <c r="J13" s="400"/>
      <c r="K13" s="359">
        <v>1473</v>
      </c>
      <c r="L13" s="395"/>
      <c r="M13" s="359">
        <v>1474</v>
      </c>
      <c r="N13" s="395"/>
      <c r="O13" s="354">
        <v>1388</v>
      </c>
      <c r="P13" s="395"/>
      <c r="Q13" s="355" t="s">
        <v>255</v>
      </c>
    </row>
    <row r="14" spans="2:17" x14ac:dyDescent="0.25">
      <c r="B14" s="593" t="s">
        <v>594</v>
      </c>
      <c r="C14" s="366">
        <v>1475</v>
      </c>
      <c r="D14" s="395">
        <f>-RTRE!G20-RTRE!G21</f>
        <v>11500000</v>
      </c>
      <c r="E14" s="359">
        <v>1476</v>
      </c>
      <c r="F14" s="400">
        <f>-RTRE!H20</f>
        <v>2500000</v>
      </c>
      <c r="G14" s="359">
        <v>1767</v>
      </c>
      <c r="H14" s="400"/>
      <c r="I14" s="359">
        <v>1768</v>
      </c>
      <c r="J14" s="400"/>
      <c r="K14" s="359">
        <v>1477</v>
      </c>
      <c r="L14" s="395"/>
      <c r="M14" s="359">
        <v>1478</v>
      </c>
      <c r="N14" s="395"/>
      <c r="O14" s="354">
        <v>1389</v>
      </c>
      <c r="P14" s="395"/>
      <c r="Q14" s="355" t="s">
        <v>255</v>
      </c>
    </row>
    <row r="15" spans="2:17" ht="31.5" x14ac:dyDescent="0.25">
      <c r="B15" s="593" t="s">
        <v>593</v>
      </c>
      <c r="C15" s="366">
        <v>1480</v>
      </c>
      <c r="D15" s="395"/>
      <c r="E15" s="359">
        <v>1481</v>
      </c>
      <c r="F15" s="400"/>
      <c r="G15" s="359">
        <v>1769</v>
      </c>
      <c r="H15" s="400"/>
      <c r="I15" s="359">
        <v>1770</v>
      </c>
      <c r="J15" s="400"/>
      <c r="K15" s="359">
        <v>1482</v>
      </c>
      <c r="L15" s="395"/>
      <c r="M15" s="359">
        <v>1483</v>
      </c>
      <c r="N15" s="395"/>
      <c r="O15" s="354">
        <v>1390</v>
      </c>
      <c r="P15" s="395"/>
      <c r="Q15" s="355" t="s">
        <v>255</v>
      </c>
    </row>
    <row r="16" spans="2:17" x14ac:dyDescent="0.25">
      <c r="B16" s="593" t="s">
        <v>314</v>
      </c>
      <c r="C16" s="366">
        <v>1484</v>
      </c>
      <c r="D16" s="395">
        <f>+D5-D10+D11-D14</f>
        <v>23350000</v>
      </c>
      <c r="E16" s="359">
        <v>1485</v>
      </c>
      <c r="F16" s="395">
        <f>+F5-F10+F11-F14</f>
        <v>0</v>
      </c>
      <c r="G16" s="359">
        <v>1771</v>
      </c>
      <c r="H16" s="400"/>
      <c r="I16" s="359">
        <v>1772</v>
      </c>
      <c r="J16" s="400"/>
      <c r="K16" s="359">
        <v>1486</v>
      </c>
      <c r="L16" s="395"/>
      <c r="M16" s="359">
        <v>1487</v>
      </c>
      <c r="N16" s="395">
        <f>+N12</f>
        <v>80000</v>
      </c>
      <c r="O16" s="354">
        <v>1391</v>
      </c>
      <c r="P16" s="395">
        <f>+P12</f>
        <v>150000</v>
      </c>
      <c r="Q16" s="355" t="s">
        <v>256</v>
      </c>
    </row>
    <row r="17" spans="2:17" ht="16.5" thickBot="1" x14ac:dyDescent="0.3">
      <c r="B17" s="594" t="s">
        <v>315</v>
      </c>
      <c r="C17" s="403"/>
      <c r="D17" s="403"/>
      <c r="E17" s="360">
        <v>1489</v>
      </c>
      <c r="F17" s="380"/>
      <c r="G17" s="382"/>
      <c r="H17" s="402"/>
      <c r="I17" s="383">
        <v>1773</v>
      </c>
      <c r="J17" s="381"/>
      <c r="K17" s="356">
        <v>1490</v>
      </c>
      <c r="L17" s="398"/>
      <c r="M17" s="360">
        <v>1491</v>
      </c>
      <c r="N17" s="398"/>
      <c r="O17" s="384"/>
      <c r="P17" s="396"/>
      <c r="Q17" s="385" t="s">
        <v>256</v>
      </c>
    </row>
    <row r="19" spans="2:17" x14ac:dyDescent="0.25">
      <c r="B19" s="525"/>
    </row>
  </sheetData>
  <mergeCells count="10">
    <mergeCell ref="B2:B4"/>
    <mergeCell ref="C2:D4"/>
    <mergeCell ref="E2:N2"/>
    <mergeCell ref="O2:P4"/>
    <mergeCell ref="E3:J3"/>
    <mergeCell ref="K3:L4"/>
    <mergeCell ref="M3:N4"/>
    <mergeCell ref="E4:F4"/>
    <mergeCell ref="G4:H4"/>
    <mergeCell ref="I4:J4"/>
  </mergeCells>
  <pageMargins left="0.47" right="0.63" top="0.74803149606299213" bottom="0.74803149606299213" header="0.31496062992125984" footer="0.31496062992125984"/>
  <pageSetup paperSize="5"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20C372E895434995F9F1441E0AA5F1" ma:contentTypeVersion="7" ma:contentTypeDescription="Crear nuevo documento." ma:contentTypeScope="" ma:versionID="6d8ff36c8482a5c19768834718540dd4">
  <xsd:schema xmlns:xsd="http://www.w3.org/2001/XMLSchema" xmlns:xs="http://www.w3.org/2001/XMLSchema" xmlns:p="http://schemas.microsoft.com/office/2006/metadata/properties" xmlns:ns2="356c1601-7624-4c8c-999a-ebdbebb69caf" targetNamespace="http://schemas.microsoft.com/office/2006/metadata/properties" ma:root="true" ma:fieldsID="67b453a61afb7a967480dfaa9bf8276b" ns2:_="">
    <xsd:import namespace="356c1601-7624-4c8c-999a-ebdbebb69c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c1601-7624-4c8c-999a-ebdbebb69c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00D20-9AAE-4DF2-A8EB-31AE52912647}">
  <ds:schemaRefs>
    <ds:schemaRef ds:uri="http://schemas.microsoft.com/sharepoint/v3/contenttype/forms"/>
  </ds:schemaRefs>
</ds:datastoreItem>
</file>

<file path=customXml/itemProps2.xml><?xml version="1.0" encoding="utf-8"?>
<ds:datastoreItem xmlns:ds="http://schemas.openxmlformats.org/officeDocument/2006/customXml" ds:itemID="{3382156C-B4C2-46CD-9661-FA5BBA813FD1}"/>
</file>

<file path=customXml/itemProps3.xml><?xml version="1.0" encoding="utf-8"?>
<ds:datastoreItem xmlns:ds="http://schemas.openxmlformats.org/officeDocument/2006/customXml" ds:itemID="{A1A1BC17-D71C-4ACE-A0CC-1FFF44D2E32B}">
  <ds:schemaRefs>
    <ds:schemaRef ds:uri="103ce411-4e21-418a-b164-29ba885c9a28"/>
    <ds:schemaRef ds:uri="http://purl.org/dc/elements/1.1/"/>
    <ds:schemaRef ds:uri="http://www.w3.org/XML/1998/namespace"/>
    <ds:schemaRef ds:uri="http://purl.org/dc/terms/"/>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544519c-0f8b-494e-8488-ec7833df4f4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Antecedentes</vt:lpstr>
      <vt:lpstr>Base Imponible y 14E</vt:lpstr>
      <vt:lpstr>R17 </vt:lpstr>
      <vt:lpstr>RAI Inicial y Final</vt:lpstr>
      <vt:lpstr>R18 </vt:lpstr>
      <vt:lpstr>CPT Simplificado</vt:lpstr>
      <vt:lpstr>R19</vt:lpstr>
      <vt:lpstr>RTRE</vt:lpstr>
      <vt:lpstr>R20 </vt:lpstr>
      <vt:lpstr>R21 </vt:lpstr>
      <vt:lpstr>Datos para DJ 1948</vt:lpstr>
      <vt:lpstr>F1948</vt:lpstr>
      <vt:lpstr>Cert. 70 L_Ortiz</vt:lpstr>
      <vt:lpstr>Determinacion RLI Año 2019</vt:lpstr>
      <vt:lpstr>'Base Imponible y 14E'!Área_de_impresión</vt:lpstr>
      <vt:lpstr>'Cert. 70 L_Ortiz'!Área_de_impresión</vt:lpstr>
      <vt:lpstr>'CPT Simplificado'!Área_de_impresión</vt:lpstr>
      <vt:lpstr>'F1948'!Área_de_impresión</vt:lpstr>
      <vt:lpstr>'R17 '!Área_de_impresión</vt:lpstr>
      <vt:lpstr>'R18 '!Área_de_impresión</vt:lpstr>
      <vt:lpstr>'R19'!Área_de_impresión</vt:lpstr>
      <vt:lpstr>RTRE!Área_de_impresión</vt:lpstr>
      <vt:lpstr>'R17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felipe rios silva</cp:lastModifiedBy>
  <cp:lastPrinted>2021-02-19T00:44:29Z</cp:lastPrinted>
  <dcterms:created xsi:type="dcterms:W3CDTF">2020-07-18T19:38:20Z</dcterms:created>
  <dcterms:modified xsi:type="dcterms:W3CDTF">2021-02-24T13:17:51Z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0x0101009320C372E895434995F9F1441E0AA5F1</vt:lpwstr>
  </property>
</Properties>
</file>