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D:\maria.valenzuela\Mis documentos\Escritorio\Compartido\SUPLEMENTO TRIBUTARIO\AT 2022\"/>
    </mc:Choice>
  </mc:AlternateContent>
  <bookViews>
    <workbookView xWindow="225" yWindow="225" windowWidth="20730" windowHeight="11760" tabRatio="889" firstSheet="2" activeTab="13"/>
  </bookViews>
  <sheets>
    <sheet name="Antecedentes" sheetId="1" r:id="rId1"/>
    <sheet name="Crédito IPE" sheetId="22" r:id="rId2"/>
    <sheet name="Base Imponible y art.14 letra E" sheetId="4" r:id="rId3"/>
    <sheet name="R17 " sheetId="14" r:id="rId4"/>
    <sheet name="RAI Final" sheetId="8" r:id="rId5"/>
    <sheet name="R18 " sheetId="12" r:id="rId6"/>
    <sheet name="CPT Simplificado" sheetId="7" r:id="rId7"/>
    <sheet name="R19" sheetId="15" r:id="rId8"/>
    <sheet name="RTRE" sheetId="6" r:id="rId9"/>
    <sheet name="R20 " sheetId="13" r:id="rId10"/>
    <sheet name="R21 " sheetId="17" r:id="rId11"/>
    <sheet name="Datos para DJ 1948" sheetId="19" r:id="rId12"/>
    <sheet name="F1948" sheetId="18" r:id="rId13"/>
    <sheet name="Cert. 70" sheetId="20" r:id="rId14"/>
    <sheet name="Determinacion RLI Año 2019" sheetId="5" state="hidden" r:id="rId15"/>
  </sheets>
  <externalReferences>
    <externalReference r:id="rId16"/>
    <externalReference r:id="rId17"/>
    <externalReference r:id="rId18"/>
  </externalReferences>
  <definedNames>
    <definedName name="_xlnm.Print_Area" localSheetId="2">'Base Imponible y art.14 letra E'!$A$1:$O$59</definedName>
    <definedName name="_xlnm.Print_Area" localSheetId="13">'Cert. 70'!$A$1:$AL$31</definedName>
    <definedName name="_xlnm.Print_Area" localSheetId="6">'CPT Simplificado'!$A$1:$J$16</definedName>
    <definedName name="_xlnm.Print_Area" localSheetId="1">'Crédito IPE'!$B$2:$K$9,'Crédito IPE'!$B$10:$K$47</definedName>
    <definedName name="_xlnm.Print_Area" localSheetId="12">'F1948'!$A$2:$AI$36</definedName>
    <definedName name="_xlnm.Print_Area" localSheetId="3">'R17 '!$B$1:$N$50</definedName>
    <definedName name="_xlnm.Print_Area" localSheetId="5">'R18 '!$A$1:$N$17</definedName>
    <definedName name="_xlnm.Print_Area" localSheetId="7">'R19'!$A$1:$I$27</definedName>
    <definedName name="_xlnm.Print_Area" localSheetId="8">RTRE!$A$1:$T$28</definedName>
    <definedName name="CERTIFICADO" localSheetId="1">#REF!</definedName>
    <definedName name="CERTIFICADO">#REF!</definedName>
    <definedName name="Codigo" localSheetId="1">#REF!</definedName>
    <definedName name="Codigo">#REF!</definedName>
    <definedName name="GVKey">""</definedName>
    <definedName name="INVERSION" localSheetId="13">#REF!</definedName>
    <definedName name="INVERSION" localSheetId="1">#REF!</definedName>
    <definedName name="INVERSION" localSheetId="12">#REF!</definedName>
    <definedName name="INVERSION" localSheetId="3">#REF!</definedName>
    <definedName name="INVERSION" localSheetId="5">#REF!</definedName>
    <definedName name="INVERSION" localSheetId="7">#REF!</definedName>
    <definedName name="INVERSION" localSheetId="9">#REF!</definedName>
    <definedName name="INVERSION">#REF!</definedName>
    <definedName name="operacion" localSheetId="13">#REF!</definedName>
    <definedName name="operacion" localSheetId="1">#REF!</definedName>
    <definedName name="operacion" localSheetId="12">#REF!</definedName>
    <definedName name="operacion" localSheetId="3">#REF!</definedName>
    <definedName name="operacion" localSheetId="5">#REF!</definedName>
    <definedName name="operacion" localSheetId="7">#REF!</definedName>
    <definedName name="operacion" localSheetId="9">#REF!</definedName>
    <definedName name="operacion">#REF!</definedName>
    <definedName name="OPERACION1" localSheetId="13">#REF!</definedName>
    <definedName name="OPERACION1" localSheetId="1">#REF!</definedName>
    <definedName name="OPERACION1" localSheetId="12">#REF!</definedName>
    <definedName name="OPERACION1" localSheetId="3">#REF!</definedName>
    <definedName name="OPERACION1" localSheetId="5">#REF!</definedName>
    <definedName name="OPERACION1" localSheetId="7">#REF!</definedName>
    <definedName name="OPERACION1" localSheetId="9">#REF!</definedName>
    <definedName name="OPERACION1">#REF!</definedName>
    <definedName name="SPSet">"current"</definedName>
    <definedName name="SPWS_WBID">""</definedName>
    <definedName name="_xlnm.Print_Titles" localSheetId="3">'R17 '!$1:$4</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12">'[1]Registrar F.22 AT.2013'!$A$2:$B$182</definedName>
    <definedName name="v" localSheetId="3">'[2]Registrar '!$A$2:$B$182</definedName>
    <definedName name="v" localSheetId="5">'[2]Registrar '!$A$2:$B$182</definedName>
    <definedName name="v" localSheetId="7">'[2]Registrar '!$A$2:$B$182</definedName>
    <definedName name="v" localSheetId="9">'[2]Registrar '!$A$2:$B$182</definedName>
    <definedName name="v">'[3]Registrar  AT.Actual'!$A$2:$B$182</definedName>
    <definedName name="x">'[3]Registrar  AT.-1'!$A:$B</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J34" i="1" l="1"/>
  <c r="O99" i="1"/>
  <c r="E47" i="1"/>
  <c r="K47" i="1" s="1"/>
  <c r="K58" i="1" s="1"/>
  <c r="E86" i="1"/>
  <c r="F86" i="1"/>
  <c r="G86" i="1" s="1"/>
  <c r="F80" i="1"/>
  <c r="G80" i="1" s="1"/>
  <c r="I102" i="1"/>
  <c r="G102" i="1"/>
  <c r="F87" i="1"/>
  <c r="F81" i="1"/>
  <c r="L40" i="1"/>
  <c r="L41" i="1" s="1"/>
  <c r="J58" i="1"/>
  <c r="L37" i="1"/>
  <c r="F7" i="7" s="1"/>
  <c r="L27" i="1"/>
  <c r="E81" i="1"/>
  <c r="K13" i="1"/>
  <c r="L13" i="1" s="1"/>
  <c r="L12" i="1"/>
  <c r="E87" i="1"/>
  <c r="G87" i="1" s="1"/>
  <c r="G88" i="1" s="1"/>
  <c r="I14" i="4" s="1"/>
  <c r="I15" i="4" s="1"/>
  <c r="D11" i="14" s="1"/>
  <c r="L53" i="1"/>
  <c r="E88" i="1"/>
  <c r="L56" i="1" s="1"/>
  <c r="L46" i="1"/>
  <c r="I22" i="4" s="1"/>
  <c r="L45" i="1"/>
  <c r="L44" i="1"/>
  <c r="L29" i="1"/>
  <c r="J33" i="1"/>
  <c r="J32" i="1"/>
  <c r="J37" i="1"/>
  <c r="K24" i="1"/>
  <c r="J24" i="1"/>
  <c r="L21" i="1"/>
  <c r="L22" i="1"/>
  <c r="L23" i="1"/>
  <c r="L20" i="1"/>
  <c r="L47" i="1"/>
  <c r="I23" i="4" s="1"/>
  <c r="D22" i="14" s="1"/>
  <c r="I7" i="4"/>
  <c r="I8" i="4"/>
  <c r="I27" i="4"/>
  <c r="I31" i="4" s="1"/>
  <c r="I28" i="4"/>
  <c r="I32" i="4" s="1"/>
  <c r="L50" i="4"/>
  <c r="I26" i="4"/>
  <c r="I25" i="4"/>
  <c r="D25" i="14" s="1"/>
  <c r="I24" i="4"/>
  <c r="B28" i="4"/>
  <c r="B32" i="4" s="1"/>
  <c r="B27" i="4"/>
  <c r="B31" i="4" s="1"/>
  <c r="B25" i="4"/>
  <c r="B19" i="4"/>
  <c r="B21" i="4"/>
  <c r="B23" i="4"/>
  <c r="B24" i="4"/>
  <c r="I13" i="4"/>
  <c r="I6" i="4"/>
  <c r="I9" i="4" s="1"/>
  <c r="I21" i="4"/>
  <c r="D23" i="14" s="1"/>
  <c r="T19" i="20"/>
  <c r="G19" i="20"/>
  <c r="D19" i="20"/>
  <c r="D3" i="20"/>
  <c r="D2" i="20"/>
  <c r="F5" i="7"/>
  <c r="F9" i="7"/>
  <c r="I46" i="4" s="1"/>
  <c r="F10" i="7"/>
  <c r="I47" i="4" s="1"/>
  <c r="I23" i="22"/>
  <c r="I22" i="22"/>
  <c r="J16" i="22"/>
  <c r="K15" i="22" s="1"/>
  <c r="J21" i="22"/>
  <c r="F64" i="5"/>
  <c r="I64" i="5"/>
  <c r="H64" i="5"/>
  <c r="I28" i="5"/>
  <c r="I48" i="5" s="1"/>
  <c r="H26" i="5"/>
  <c r="I26" i="5" s="1"/>
  <c r="H25" i="5"/>
  <c r="I25" i="5" s="1"/>
  <c r="N36" i="5"/>
  <c r="C38" i="5"/>
  <c r="C37" i="5"/>
  <c r="C36" i="5"/>
  <c r="C35" i="5"/>
  <c r="C34" i="5"/>
  <c r="C33" i="5"/>
  <c r="H13" i="5"/>
  <c r="H27" i="5" s="1"/>
  <c r="I27" i="5" s="1"/>
  <c r="M30" i="5"/>
  <c r="I15" i="5"/>
  <c r="I49" i="5" s="1"/>
  <c r="I14" i="5"/>
  <c r="H37" i="5"/>
  <c r="N27" i="5"/>
  <c r="G16" i="5"/>
  <c r="H24" i="5"/>
  <c r="I24" i="5"/>
  <c r="G11" i="5"/>
  <c r="P69" i="5"/>
  <c r="M68" i="5"/>
  <c r="N67" i="5"/>
  <c r="M67" i="5"/>
  <c r="N66" i="5"/>
  <c r="M66" i="5"/>
  <c r="O66" i="5"/>
  <c r="N65" i="5"/>
  <c r="N64" i="5"/>
  <c r="N69" i="5" s="1"/>
  <c r="N48" i="5"/>
  <c r="O47" i="5"/>
  <c r="O46" i="5"/>
  <c r="O45" i="5"/>
  <c r="K23" i="5"/>
  <c r="I23" i="5"/>
  <c r="O12" i="5"/>
  <c r="O13" i="5" s="1"/>
  <c r="O6" i="5"/>
  <c r="O35" i="5"/>
  <c r="N68" i="5"/>
  <c r="O68" i="5" s="1"/>
  <c r="I13" i="5"/>
  <c r="H36" i="5" s="1"/>
  <c r="H12" i="5"/>
  <c r="I12" i="5" s="1"/>
  <c r="H35" i="5" s="1"/>
  <c r="J25" i="18"/>
  <c r="G45" i="18" s="1"/>
  <c r="AF45" i="18"/>
  <c r="AE45" i="18"/>
  <c r="AD45" i="18"/>
  <c r="AC45" i="18"/>
  <c r="AB45" i="18"/>
  <c r="AA45" i="18"/>
  <c r="Z45" i="18"/>
  <c r="Y45" i="18"/>
  <c r="X45" i="18"/>
  <c r="V45" i="18"/>
  <c r="U45" i="18"/>
  <c r="T45" i="18"/>
  <c r="S45" i="18"/>
  <c r="P45" i="18"/>
  <c r="O45" i="18"/>
  <c r="N45" i="18"/>
  <c r="M45" i="18"/>
  <c r="L45" i="18"/>
  <c r="K45" i="18"/>
  <c r="J45" i="18"/>
  <c r="I45" i="18"/>
  <c r="H45" i="18"/>
  <c r="F45" i="18"/>
  <c r="E45" i="18"/>
  <c r="D45" i="18"/>
  <c r="B45" i="18"/>
  <c r="B26" i="18"/>
  <c r="B25" i="18"/>
  <c r="B19" i="20" s="1"/>
  <c r="D29" i="14"/>
  <c r="D34" i="14"/>
  <c r="D10" i="14"/>
  <c r="D32" i="14"/>
  <c r="D40" i="14" s="1"/>
  <c r="D21" i="14"/>
  <c r="D6" i="14"/>
  <c r="D5" i="14"/>
  <c r="D4" i="15"/>
  <c r="D14" i="15"/>
  <c r="F5" i="17"/>
  <c r="E19" i="6"/>
  <c r="G19" i="6"/>
  <c r="M11" i="6"/>
  <c r="J11" i="6"/>
  <c r="E21" i="6"/>
  <c r="K21" i="6"/>
  <c r="F16" i="17" s="1"/>
  <c r="L11" i="6"/>
  <c r="J5" i="17" s="1"/>
  <c r="L16" i="6"/>
  <c r="J11" i="17" s="1"/>
  <c r="K11" i="6"/>
  <c r="I11" i="6"/>
  <c r="N5" i="13" s="1"/>
  <c r="I14" i="6"/>
  <c r="F14" i="6" s="1"/>
  <c r="I17" i="6"/>
  <c r="I22" i="6" s="1"/>
  <c r="O11" i="6"/>
  <c r="P5" i="13" s="1"/>
  <c r="N11" i="6"/>
  <c r="P5" i="17" s="1"/>
  <c r="G11" i="6"/>
  <c r="D5" i="13" s="1"/>
  <c r="H11" i="6"/>
  <c r="F21" i="6"/>
  <c r="D20" i="6"/>
  <c r="B20" i="6"/>
  <c r="D19" i="6"/>
  <c r="B19" i="6"/>
  <c r="F18" i="6"/>
  <c r="O16" i="6"/>
  <c r="F16" i="6"/>
  <c r="F15" i="6"/>
  <c r="E20" i="6"/>
  <c r="G20" i="6"/>
  <c r="K16" i="6"/>
  <c r="F11" i="17" s="1"/>
  <c r="N16" i="6"/>
  <c r="P11" i="17" s="1"/>
  <c r="N17" i="6"/>
  <c r="N22" i="6" s="1"/>
  <c r="H29" i="22" l="1"/>
  <c r="I10" i="4"/>
  <c r="J33" i="22"/>
  <c r="N12" i="13"/>
  <c r="G81" i="1"/>
  <c r="G82" i="1" s="1"/>
  <c r="H11" i="5"/>
  <c r="G10" i="5" s="1"/>
  <c r="E82" i="1"/>
  <c r="F6" i="8" s="1"/>
  <c r="F8" i="7" s="1"/>
  <c r="D16" i="15" s="1"/>
  <c r="G12" i="6"/>
  <c r="D17" i="15"/>
  <c r="E61" i="5"/>
  <c r="O67" i="5"/>
  <c r="N16" i="13"/>
  <c r="L24" i="1"/>
  <c r="L17" i="6"/>
  <c r="L22" i="6" s="1"/>
  <c r="K33" i="4"/>
  <c r="J17" i="17"/>
  <c r="L14" i="1"/>
  <c r="F8" i="8" s="1"/>
  <c r="D10" i="12" s="1"/>
  <c r="O17" i="6"/>
  <c r="O22" i="6" s="1"/>
  <c r="N8" i="6" s="1"/>
  <c r="P12" i="13"/>
  <c r="P16" i="13"/>
  <c r="D4" i="19"/>
  <c r="D14" i="13"/>
  <c r="D5" i="19"/>
  <c r="F20" i="6"/>
  <c r="F11" i="6"/>
  <c r="H17" i="6"/>
  <c r="F5" i="13"/>
  <c r="P17" i="17"/>
  <c r="H16" i="5"/>
  <c r="H10" i="5" s="1"/>
  <c r="I16" i="5"/>
  <c r="H40" i="5" s="1"/>
  <c r="J25" i="22"/>
  <c r="M19" i="20"/>
  <c r="M20" i="20" s="1"/>
  <c r="I29" i="5"/>
  <c r="K20" i="22"/>
  <c r="J37" i="22" s="1"/>
  <c r="I19" i="4"/>
  <c r="K14" i="1"/>
  <c r="I3" i="5" s="1"/>
  <c r="D7" i="12" l="1"/>
  <c r="I45" i="4"/>
  <c r="L57" i="1"/>
  <c r="D10" i="13"/>
  <c r="F12" i="6"/>
  <c r="I11" i="5"/>
  <c r="H34" i="5" s="1"/>
  <c r="I19" i="5"/>
  <c r="O23" i="5"/>
  <c r="H30" i="22"/>
  <c r="I28" i="22" s="1"/>
  <c r="K28" i="22" s="1"/>
  <c r="L52" i="1"/>
  <c r="I39" i="5"/>
  <c r="F5" i="19"/>
  <c r="D12" i="19"/>
  <c r="I5" i="5"/>
  <c r="I6" i="5" s="1"/>
  <c r="M64" i="5" s="1"/>
  <c r="O3" i="5"/>
  <c r="O7" i="5" s="1"/>
  <c r="M43" i="5"/>
  <c r="M27" i="5"/>
  <c r="O27" i="5" s="1"/>
  <c r="I45" i="5" s="1"/>
  <c r="M36" i="5"/>
  <c r="O36" i="5" s="1"/>
  <c r="I44" i="5"/>
  <c r="F10" i="5"/>
  <c r="F7" i="8"/>
  <c r="D9" i="12" s="1"/>
  <c r="H19" i="6"/>
  <c r="D11" i="19"/>
  <c r="D6" i="19"/>
  <c r="D18" i="14"/>
  <c r="O28" i="5" l="1"/>
  <c r="D13" i="19"/>
  <c r="F25" i="18"/>
  <c r="E4" i="19"/>
  <c r="F14" i="13"/>
  <c r="F16" i="13" s="1"/>
  <c r="F19" i="6"/>
  <c r="F18" i="5"/>
  <c r="I18" i="5" s="1"/>
  <c r="I20" i="5" s="1"/>
  <c r="I10" i="5"/>
  <c r="O43" i="5"/>
  <c r="O64" i="5"/>
  <c r="I20" i="4"/>
  <c r="L58" i="1"/>
  <c r="M44" i="5"/>
  <c r="M48" i="5" s="1"/>
  <c r="L30" i="5"/>
  <c r="N30" i="5"/>
  <c r="O30" i="5" s="1"/>
  <c r="I47" i="5" s="1"/>
  <c r="H22" i="6"/>
  <c r="E12" i="19"/>
  <c r="F12" i="19" s="1"/>
  <c r="F26" i="18"/>
  <c r="J38" i="22"/>
  <c r="K36" i="22" s="1"/>
  <c r="J34" i="22"/>
  <c r="K32" i="22" s="1"/>
  <c r="K43" i="22" s="1"/>
  <c r="J15" i="6" s="1"/>
  <c r="K46" i="22" l="1"/>
  <c r="I11" i="4"/>
  <c r="I12" i="4" s="1"/>
  <c r="K16" i="4" s="1"/>
  <c r="D7" i="14"/>
  <c r="D14" i="14" s="1"/>
  <c r="O70" i="5"/>
  <c r="H33" i="5"/>
  <c r="I32" i="5" s="1"/>
  <c r="I41" i="5" s="1"/>
  <c r="O34" i="5" s="1"/>
  <c r="I17" i="5"/>
  <c r="I21" i="5" s="1"/>
  <c r="E11" i="19"/>
  <c r="E6" i="19"/>
  <c r="F4" i="19"/>
  <c r="I19" i="20"/>
  <c r="I20" i="20" s="1"/>
  <c r="C45" i="18"/>
  <c r="D10" i="17"/>
  <c r="J17" i="6"/>
  <c r="O31" i="5"/>
  <c r="M65" i="5"/>
  <c r="O44" i="5"/>
  <c r="O48" i="5" s="1"/>
  <c r="D19" i="14"/>
  <c r="D39" i="14" s="1"/>
  <c r="I29" i="4"/>
  <c r="K30" i="4" s="1"/>
  <c r="O49" i="5"/>
  <c r="D41" i="14" l="1"/>
  <c r="Q48" i="5"/>
  <c r="O50" i="5"/>
  <c r="I46" i="5"/>
  <c r="I50" i="5" s="1"/>
  <c r="I51" i="5" s="1"/>
  <c r="D65" i="5"/>
  <c r="D67" i="5" s="1"/>
  <c r="E60" i="5"/>
  <c r="E64" i="5" s="1"/>
  <c r="O32" i="5"/>
  <c r="D19" i="15"/>
  <c r="F11" i="7"/>
  <c r="M15" i="6"/>
  <c r="O65" i="5"/>
  <c r="O69" i="5" s="1"/>
  <c r="M69" i="5"/>
  <c r="J19" i="6"/>
  <c r="J20" i="6"/>
  <c r="F19" i="20"/>
  <c r="F20" i="20" s="1"/>
  <c r="F6" i="19"/>
  <c r="E13" i="19"/>
  <c r="F11" i="19"/>
  <c r="K35" i="4"/>
  <c r="I44" i="4" l="1"/>
  <c r="I48" i="4" s="1"/>
  <c r="I49" i="4" s="1"/>
  <c r="K37" i="4" s="1"/>
  <c r="K39" i="4" s="1"/>
  <c r="H19" i="20"/>
  <c r="H20" i="20" s="1"/>
  <c r="F13" i="19"/>
  <c r="H5" i="19"/>
  <c r="K20" i="6"/>
  <c r="I5" i="19" s="1"/>
  <c r="I12" i="19" s="1"/>
  <c r="U26" i="18" s="1"/>
  <c r="H4" i="19"/>
  <c r="D14" i="17"/>
  <c r="D17" i="17" s="1"/>
  <c r="Q69" i="5"/>
  <c r="O71" i="5"/>
  <c r="J22" i="6"/>
  <c r="L10" i="17"/>
  <c r="M17" i="6"/>
  <c r="N73" i="5"/>
  <c r="N74" i="5" s="1"/>
  <c r="O37" i="5"/>
  <c r="O38" i="5" s="1"/>
  <c r="N52" i="5"/>
  <c r="N53" i="5" s="1"/>
  <c r="F6" i="7" l="1"/>
  <c r="K40" i="4"/>
  <c r="K15" i="6" s="1"/>
  <c r="E15" i="6"/>
  <c r="M19" i="6"/>
  <c r="M20" i="6"/>
  <c r="J5" i="19" s="1"/>
  <c r="J12" i="19" s="1"/>
  <c r="Z26" i="18" s="1"/>
  <c r="H11" i="19"/>
  <c r="H6" i="19"/>
  <c r="H12" i="19"/>
  <c r="F12" i="7"/>
  <c r="D20" i="15" s="1"/>
  <c r="D42" i="14"/>
  <c r="D44" i="14" s="1"/>
  <c r="K12" i="19" l="1"/>
  <c r="T26" i="18"/>
  <c r="H13" i="19"/>
  <c r="T25" i="18"/>
  <c r="F13" i="7"/>
  <c r="F5" i="8" s="1"/>
  <c r="D9" i="15"/>
  <c r="D24" i="15" s="1"/>
  <c r="K5" i="19"/>
  <c r="M22" i="6"/>
  <c r="L14" i="17"/>
  <c r="L17" i="17" s="1"/>
  <c r="J4" i="19"/>
  <c r="K19" i="6"/>
  <c r="F10" i="17"/>
  <c r="K17" i="6"/>
  <c r="K22" i="6" s="1"/>
  <c r="I4" i="19" l="1"/>
  <c r="F14" i="17"/>
  <c r="D4" i="12"/>
  <c r="D8" i="12" s="1"/>
  <c r="D13" i="12" s="1"/>
  <c r="F9" i="8"/>
  <c r="G13" i="6" s="1"/>
  <c r="F17" i="17"/>
  <c r="J11" i="19"/>
  <c r="J6" i="19"/>
  <c r="W19" i="20"/>
  <c r="W20" i="20" s="1"/>
  <c r="Q45" i="18"/>
  <c r="I11" i="19" l="1"/>
  <c r="I6" i="19"/>
  <c r="K4" i="19"/>
  <c r="K6" i="19" s="1"/>
  <c r="J13" i="19"/>
  <c r="Z25" i="18"/>
  <c r="D11" i="13"/>
  <c r="D16" i="13" s="1"/>
  <c r="F13" i="6"/>
  <c r="F17" i="6" s="1"/>
  <c r="F22" i="6" s="1"/>
  <c r="G17" i="6"/>
  <c r="G22" i="6" s="1"/>
  <c r="AC19" i="20" l="1"/>
  <c r="AC20" i="20" s="1"/>
  <c r="W45" i="18"/>
  <c r="I13" i="19"/>
  <c r="U25" i="18"/>
  <c r="K11" i="19"/>
  <c r="K13" i="19" s="1"/>
  <c r="X19" i="20" l="1"/>
  <c r="R45" i="18"/>
</calcChain>
</file>

<file path=xl/sharedStrings.xml><?xml version="1.0" encoding="utf-8"?>
<sst xmlns="http://schemas.openxmlformats.org/spreadsheetml/2006/main" count="969" uniqueCount="631">
  <si>
    <r>
      <t xml:space="preserve">(-) Pago IDPC AT 2021 </t>
    </r>
    <r>
      <rPr>
        <b/>
        <sz val="10"/>
        <rFont val="Arial"/>
        <family val="2"/>
      </rPr>
      <t>histórico</t>
    </r>
    <r>
      <rPr>
        <sz val="10"/>
        <rFont val="Arial"/>
        <family val="2"/>
      </rPr>
      <t xml:space="preserve"> …………………………...…………………………………………………………………………………………………………………………………………………………………….</t>
    </r>
  </si>
  <si>
    <t>IDPC e IPE retiros o dividendos percibidos</t>
  </si>
  <si>
    <t>CERTIFICADO N° 70</t>
    <phoneticPr fontId="33" type="noConversion"/>
  </si>
  <si>
    <t>CPTS negativo final (recuadro N° 19)</t>
  </si>
  <si>
    <t>CPTS positivo final (recuadro N° 19)</t>
  </si>
  <si>
    <t>Determinación capital propio tributario simplificado al 31.12.2021</t>
  </si>
  <si>
    <t>CPTS positivo final</t>
  </si>
  <si>
    <t>Octubre 2021</t>
  </si>
  <si>
    <t>Noviembre  2021</t>
  </si>
  <si>
    <t xml:space="preserve">Valor UF al 31.12.2021 </t>
  </si>
  <si>
    <t>Retiros actualizados al 31.12.2021:</t>
  </si>
  <si>
    <t>PPM actualizado al 31.12.2021:</t>
  </si>
  <si>
    <t xml:space="preserve"> Octubre 2021</t>
  </si>
  <si>
    <t xml:space="preserve"> Noviembre 2021</t>
  </si>
  <si>
    <t>Los saldos de los registros de renta empresariales al 31.12.2020 e informados en recuadros N°s 20 y 21 del F-22 AT 2021,  fueron los siguientes:</t>
  </si>
  <si>
    <r>
      <t xml:space="preserve">(-) Intereses y multas fiscales </t>
    </r>
    <r>
      <rPr>
        <b/>
        <sz val="10"/>
        <rFont val="Arial"/>
        <family val="2"/>
      </rPr>
      <t>históricos</t>
    </r>
    <r>
      <rPr>
        <sz val="10"/>
        <rFont val="Arial"/>
        <family val="2"/>
      </rPr>
      <t xml:space="preserve"> …………………………...…………………………………………………………………………………………………………………………………………………………………….</t>
    </r>
  </si>
  <si>
    <r>
      <t xml:space="preserve">(-) Pago IDPC AT 2021 </t>
    </r>
    <r>
      <rPr>
        <b/>
        <sz val="10"/>
        <rFont val="Arial"/>
        <family val="2"/>
      </rPr>
      <t>históricos</t>
    </r>
    <r>
      <rPr>
        <sz val="10"/>
        <rFont val="Arial"/>
        <family val="2"/>
      </rPr>
      <t xml:space="preserve"> …………………………...…………………………………………………………………………………………………………………………………………………………………….</t>
    </r>
  </si>
  <si>
    <t>Remuneraciones del ejercicio monto bruto</t>
  </si>
  <si>
    <t>monto bruto</t>
  </si>
  <si>
    <t>Compras netas  existencias 2021</t>
  </si>
  <si>
    <t>Cotizaciones previsionales diciembre de 2020</t>
  </si>
  <si>
    <t>Retenciones IUSC diciembre 2020</t>
  </si>
  <si>
    <t>Pago proveedores 2020</t>
  </si>
  <si>
    <t>Pago IDPC AT. 2021</t>
  </si>
  <si>
    <t>El CPTS determinado al 31.12.2020 e informado en el código 1545 recuadro N° 19 del F-22 AT 2021</t>
  </si>
  <si>
    <t>Determinación  RAI al 31.12.2021</t>
  </si>
  <si>
    <t>(+) Capital propio tributario simplificado al 31-12-2021 ……..............</t>
  </si>
  <si>
    <t>CTD - crédito imputable al IDPC ($3.599.883 - $1.000.608)…...................................................................................................................</t>
  </si>
  <si>
    <t>Dividendo de fuente extranjera percibido con fecha 09.07.2021, en dólares……………………………………………………………………………………………………………..</t>
  </si>
  <si>
    <t>Tipo de cambio al 09.07.2021……………………………………………………………………………………………………………………………………………..</t>
  </si>
  <si>
    <t>ANTECEDENTES DE LA RENTA DE FUENTE EXTRANJERA</t>
  </si>
  <si>
    <t>TOTAL EGRESOS DEL GIRO</t>
  </si>
  <si>
    <t>TOTAL DE EGRESOS ANUALES</t>
  </si>
  <si>
    <t>Gastos adeudados en 2020 y pagados en 2021</t>
  </si>
  <si>
    <r>
      <t xml:space="preserve">(+) Retiros del ejercicio </t>
    </r>
    <r>
      <rPr>
        <b/>
        <sz val="10"/>
        <rFont val="Arial"/>
        <family val="2"/>
      </rPr>
      <t xml:space="preserve">históricos al 31-12-2021 </t>
    </r>
    <r>
      <rPr>
        <sz val="10"/>
        <rFont val="Arial"/>
        <family val="2"/>
      </rPr>
      <t>………………………………………………………………………………………...............................................</t>
    </r>
  </si>
  <si>
    <r>
      <t xml:space="preserve">(- ) Capital social aportado histórico </t>
    </r>
    <r>
      <rPr>
        <b/>
        <sz val="10"/>
        <rFont val="Arial"/>
        <family val="2"/>
      </rPr>
      <t>al 31.12.2021</t>
    </r>
    <r>
      <rPr>
        <sz val="10"/>
        <rFont val="Arial"/>
        <family val="2"/>
      </rPr>
      <t xml:space="preserve"> ………………..…….</t>
    </r>
  </si>
  <si>
    <r>
      <t xml:space="preserve">(+) Capital propio tributario </t>
    </r>
    <r>
      <rPr>
        <b/>
        <sz val="10"/>
        <rFont val="Arial"/>
        <family val="2"/>
      </rPr>
      <t xml:space="preserve">al 01.01.2021 </t>
    </r>
    <r>
      <rPr>
        <sz val="10"/>
        <rFont val="Arial"/>
        <family val="2"/>
      </rPr>
      <t>………………………………………………...…………………………………………………………………............</t>
    </r>
  </si>
  <si>
    <t>RECUADRO N° 21: REGISTRO SAC 
(ART. 14 LETRA D) N° 3 LIR)</t>
  </si>
  <si>
    <t>Asignado a Retiros en exceso y devoluciones de capital  efectuados en el ejercicio</t>
  </si>
  <si>
    <t>IDPC e IPE asignado a gastos rechazados del art. 21 inc. 1° no afectos a IU 40% y del inciso 2° LIR</t>
  </si>
  <si>
    <t>Asignado a remesas, retiros o dividendos efectuados en el ejercicio</t>
  </si>
  <si>
    <t>CPTS negativo final</t>
  </si>
  <si>
    <t>Registros Tributario de Rentas Empresariales al 31.12.2021 artículo 14 letra D) N° 3 LIR (RTRE)</t>
  </si>
  <si>
    <t xml:space="preserve">La sociedad  EC  &amp; GET Ltda. </t>
  </si>
  <si>
    <t>De acuerdo a los registros contables y documentación de respaldo, los propietarios de la sociedad aportaron el capital social conforme al siguiente detalle:</t>
  </si>
  <si>
    <t>TOTAL PPM PAGADO DEL EJERCICIO  (3)</t>
  </si>
  <si>
    <r>
      <t xml:space="preserve">A) </t>
    </r>
    <r>
      <rPr>
        <b/>
        <u/>
        <sz val="10"/>
        <rFont val="Arial"/>
        <family val="2"/>
      </rPr>
      <t>Determinación de los impuestos extranjeros utilizables como créditos</t>
    </r>
  </si>
  <si>
    <r>
      <t xml:space="preserve">B) </t>
    </r>
    <r>
      <rPr>
        <b/>
        <u/>
        <sz val="10"/>
        <rFont val="Arial"/>
        <family val="2"/>
      </rPr>
      <t>Determinación de la imputación del CTD</t>
    </r>
  </si>
  <si>
    <r>
      <t xml:space="preserve">(-) Retiros del ejercicio </t>
    </r>
    <r>
      <rPr>
        <b/>
        <sz val="10"/>
        <rFont val="Arial"/>
        <family val="2"/>
      </rPr>
      <t xml:space="preserve">históricos </t>
    </r>
    <r>
      <rPr>
        <sz val="10"/>
        <rFont val="Arial"/>
        <family val="2"/>
      </rPr>
      <t>.……………………………………………………………………………………………………………………………………………………….</t>
    </r>
  </si>
  <si>
    <t>Socio 2: Sr. Escudero contribuyente del IGC, RUT 17.500.000-0……………………………………………………………………………………………………………………………………………………………………………………………………………………………………………………………….</t>
  </si>
  <si>
    <t xml:space="preserve">Ventas netas año 2021 a entidades NO relacionadas </t>
  </si>
  <si>
    <t>Ventas netas  año 2021 a entidades relacionadas sujetas al régimen de imputación parcial de créditos (art. 14 letra A) LIR)</t>
  </si>
  <si>
    <t xml:space="preserve"> - Crédito total disponible (corresponde a la cantidad menor)…................................................................................................................................................................</t>
  </si>
  <si>
    <t>Tope individual………………………………………………………………………………………………………………………….</t>
  </si>
  <si>
    <t>Tope global………………………………………………………………………………………………………………………</t>
  </si>
  <si>
    <t>DETERMINACIÓN CRÉDITO POR IMPUESTOS SOPORTADOS EN EL EXTERIOR (IPE)</t>
  </si>
  <si>
    <t xml:space="preserve"> - Tope global </t>
  </si>
  <si>
    <t>Sin
devolución</t>
  </si>
  <si>
    <t>Crédito IPE</t>
  </si>
  <si>
    <t>No Sujeto a Restitución Sin D° Devolución</t>
  </si>
  <si>
    <t>RENTA DE FUENTE EXTRANJERA PERCIBIDAS</t>
  </si>
  <si>
    <t>VIPC anual 2021 para los siguientes meses:</t>
  </si>
  <si>
    <t>Base del IDPC voluntario según  art. 14 letra A) N°  6 LIR y art. 42° transitorio Ley N° 21.210</t>
  </si>
  <si>
    <t>Dividendos o retiros percibidos afectos a impuestos finales, que absorben la pérdida tributaria</t>
  </si>
  <si>
    <t>Incremento por IDPC de los dividendos o retiros percibidos afectos a impuestos finales, que absorben la pérdida tributaria</t>
  </si>
  <si>
    <t>Para el año comercial 2021 la sociedad presenta los siguientes movimientos que forman parte del registro caja:</t>
  </si>
  <si>
    <t>(2) Circular N°11 de 2021, referente a la Ley N°21.256/2020.</t>
  </si>
  <si>
    <t>VI.</t>
  </si>
  <si>
    <t>VII.</t>
  </si>
  <si>
    <t>CTD determinado</t>
  </si>
  <si>
    <t>Determinación base imponible de Primera Categoría al 31.12.2021</t>
  </si>
  <si>
    <t>Ventas netas año 2021 a entidades relacionadas sujetas al régimen de imputación parcial de créditos (art. 14 letra A))</t>
  </si>
  <si>
    <t>Deducción incentivo al ahorro art. 14 letra E) (Tope 5.000 UF = $154.958.700.-)</t>
  </si>
  <si>
    <t>Ingresos del giro percibidos</t>
  </si>
  <si>
    <t>Existencias, insumos y servicios del negocio, pagados</t>
  </si>
  <si>
    <t>Dividendo extranjero percibido en pesos (US 8.500 x $753,67)……………………………………………………………………………</t>
  </si>
  <si>
    <t>US 8.500 x $753,67 = $6.406.195 / 0,85 = $7.536.700 x 15%...................................................................................</t>
  </si>
  <si>
    <t>$7.536.700 / 0,68 x 32%..........................................................................................................................</t>
  </si>
  <si>
    <t>(ii) 35% sobre la renta bruta ($6.406.195 + $4.677.187 = $11.083.382)….......................................................………………….…………………….</t>
  </si>
  <si>
    <t>Renta Imponible x tasa IDPC ($10.006.078 x 10%)…………………………………………………………………………………………………………………………………………..</t>
  </si>
  <si>
    <t>RAP Y DIFERENCIA INICIAL EX ART. 14 TER A) LIR</t>
  </si>
  <si>
    <t>Remanente ejercicio anterior o saldo inicial (saldo positivo)</t>
  </si>
  <si>
    <t xml:space="preserve">Remanente ejercicio anterior o saldo inicial (saldo negativo) </t>
  </si>
  <si>
    <t>Monto imputado al IS art. 25° transitorio Ley N°21.210</t>
  </si>
  <si>
    <t>Reversos y/o disminuciones del ejercicio (propios)</t>
  </si>
  <si>
    <t>Retiros en exceso y devoluciones de capital imputados en el ejercicio</t>
  </si>
  <si>
    <t>Retiros, dividendos o remesas imputados a los RTRE</t>
  </si>
  <si>
    <t>CON CRÉDITO POR IDPC  ACUMULADOS  HASTA EL 31.12.2016</t>
  </si>
  <si>
    <t>CON DERECHO A CRÉDITO POR PAGO DE IDPC VOLUNTARIO</t>
  </si>
  <si>
    <t>SIN DERECHO A CRÉDITO</t>
  </si>
  <si>
    <t>(1)</t>
  </si>
  <si>
    <t>(2)</t>
  </si>
  <si>
    <t>(3)</t>
  </si>
  <si>
    <t>(4)</t>
  </si>
  <si>
    <t>(5)</t>
  </si>
  <si>
    <t>(6)</t>
  </si>
  <si>
    <t>(7)</t>
  </si>
  <si>
    <t>(8)</t>
  </si>
  <si>
    <t>(9)</t>
  </si>
  <si>
    <t>(10)</t>
  </si>
  <si>
    <t>(11)</t>
  </si>
  <si>
    <t>(12)</t>
  </si>
  <si>
    <t>(13)</t>
  </si>
  <si>
    <t>(14)</t>
  </si>
  <si>
    <t>(15)</t>
  </si>
  <si>
    <t>(16)</t>
  </si>
  <si>
    <t>(17)</t>
  </si>
  <si>
    <t>(18)</t>
  </si>
  <si>
    <t>(19)</t>
  </si>
  <si>
    <t>IDPC e IPE base imponible generada en el ejercicio</t>
  </si>
  <si>
    <t>Ingresos devengados en 2020 y percibidos en 2021</t>
  </si>
  <si>
    <t>Artículo 14 letra D) N°3 LIR</t>
  </si>
  <si>
    <t>(-) Crédito IPE contra IF del ejercicio ….........................................................</t>
  </si>
  <si>
    <t>Reajustado al 31.12.2019 ($)</t>
  </si>
  <si>
    <t>Socio 1: Sr. Ortiz  contribuyente del IGC, RUT 18.000.000-0……………………………………………………………………………………………………………………………………………………………………………………………………………………………………………………………….</t>
  </si>
  <si>
    <t>Gastos relacionados al dividendo……………………………………………………………………………….</t>
  </si>
  <si>
    <t xml:space="preserve"> - Tope individual (corresponde a la cantidad menor)…................................................................................................................</t>
  </si>
  <si>
    <t>(i) Impuestos efectivamente soportados en el extranjero…………………………………………………………………………………………………………………….</t>
  </si>
  <si>
    <t>x 35%</t>
  </si>
  <si>
    <t>Renta neta del ejercicio………………………………………………………………………….</t>
  </si>
  <si>
    <t xml:space="preserve"> - Renta imponible</t>
  </si>
  <si>
    <t>Renta neta del ejercicio………………………………………………………………………………………………….</t>
  </si>
  <si>
    <t>Impuestos que pueden ser utilizados como crédito…………………………………………………………….</t>
  </si>
  <si>
    <t>Total de ingresos anuales</t>
  </si>
  <si>
    <t>Gastos por exigencias medio ambientales, pagados</t>
  </si>
  <si>
    <t>Gastos por inversión privada en investigación y desarrollo no certificados por CORFO</t>
  </si>
  <si>
    <t>Gastos por inversión privada en investigación y desarrollo certificados por CORFO</t>
  </si>
  <si>
    <t>Total de egresos anuales</t>
  </si>
  <si>
    <t>Partidas del inc. 1° no afectas al IU de tasa 40% y del inc. 2° del art. 21 LIR (históricos), incluidos en el total de egresos</t>
  </si>
  <si>
    <t>Base imponible antes de rebaja por incentivo al ahorro (art. 14 letra E) LIR) y/o por pago de IDPC voluntario (art. 14 letra A) N°6 LIR y art. 42° transitorio Ley N° 21.210) o pérdida tributaria</t>
  </si>
  <si>
    <t>TOTAL Históricos ($)</t>
  </si>
  <si>
    <t>CRÉDITOS</t>
  </si>
  <si>
    <t>No Sujeto a Restitución Con D° Devolución</t>
  </si>
  <si>
    <t>TOTAL Actualizados ($)</t>
  </si>
  <si>
    <t>MONTOS HISTÓRICOS</t>
  </si>
  <si>
    <t>MONTOS ACTUALIZADOS</t>
  </si>
  <si>
    <t>18.000.000-0</t>
  </si>
  <si>
    <t>17.500.000-0</t>
  </si>
  <si>
    <t>20-5</t>
  </si>
  <si>
    <t>RUT N°</t>
  </si>
  <si>
    <t>CERTIFICADO N°:</t>
  </si>
  <si>
    <t>Dirección</t>
  </si>
  <si>
    <t>Ciudad y Fecha:</t>
  </si>
  <si>
    <t xml:space="preserve">Giro o Actividad </t>
  </si>
  <si>
    <t xml:space="preserve">FECHA DEL 
RETIRO, 
REMESA Y/O 
DIVIDENDOS 
DISTRIBUIDOS
</t>
  </si>
  <si>
    <t>Crédito sobre activos fijos adquiridos en el ejercicio (art. 33 bis LIR)</t>
  </si>
  <si>
    <t>Percibidos (USD)</t>
  </si>
  <si>
    <t>TOTAL INGRESOS DE FUENTE EXTRANJERA DEL EJERCICIO</t>
  </si>
  <si>
    <t>TOTAL INGRESOS DE FUENTE EXTRANJERA</t>
  </si>
  <si>
    <t>Dividendo de fuente extranjera percibido</t>
  </si>
  <si>
    <t xml:space="preserve"> - Crédito por IPE imputable al IDPC</t>
  </si>
  <si>
    <t xml:space="preserve"> - Crédito por IPE imputable a IF (Registrar en SAC)</t>
  </si>
  <si>
    <t>Ingreso diferido imputado en el ejercicio, debidamente incrementado y reajustado, cuando corresponda</t>
  </si>
  <si>
    <t>RECUADRO N° 17: BASE IMPONIBLE RÉGIMEN PRO PYME (ART. 14 LETRA D) N° 3 LIR)</t>
  </si>
  <si>
    <t>Capital aportado, histórico (incluye aumentos y disminuciones efectivas)</t>
  </si>
  <si>
    <t>Sobreprecio obtenido en la colocación de acciones de propia emisión, histórico</t>
  </si>
  <si>
    <t xml:space="preserve">Rentas afectas a IGC o IA (RAI) del ejercicio </t>
  </si>
  <si>
    <t>RECUADRO N° 19: CPTS RÉGIMEN PRO PYME 
(ART. 14 LETRA D) N° 3 LIR)</t>
  </si>
  <si>
    <t>Remesas, retiros o dividendos repartidos en el ejercicio</t>
  </si>
  <si>
    <t>RECUADRO N° 20: REGISTRO TRIBUTARIO DE RENTAS EMPRESARIALES Y MOVIMIENTO STUT (ART. 14 LETRA D) N° 3 LIR)</t>
  </si>
  <si>
    <t>RENTAS GENERADAS HASTA EL 31.12.1983 Y/O UTILIDADES AFECTADAS CON IMPUESTO SUSTITUTIVO AL FUT (ISFUT) LEY N°21.210</t>
  </si>
  <si>
    <t>RENTAS EXENTAS DE IMPUESTO GLOBAL COMPLEMENTARIO (IGC) (ARTÍCULO 11, LEY 18.401), AFECTAS A IMPUESTO ADICIONAL</t>
  </si>
  <si>
    <t>RENTAS EXENTAS DE IMPUESTO GLOBAL COMPLEMENTARIO (IGC) Y/O IMPUESTO ADICIONAL (IA)</t>
  </si>
  <si>
    <t xml:space="preserve">NO SUJETOS A RESTITUCIÓN GENERADOS HASTA EL 31.12.2019 </t>
  </si>
  <si>
    <t xml:space="preserve">NO SUJETOS A RESTITUCIÓN GENERADOS A CONTAR DEL 01.01.2020 </t>
  </si>
  <si>
    <t>SUJETOS A RESTITUCIÓN</t>
  </si>
  <si>
    <t>SIN DERECHO A DEVOLUCIÓN</t>
  </si>
  <si>
    <t>CON DERECHO A DEVOLUCIÓN</t>
  </si>
  <si>
    <t>CON CRÉDITO POR IDPC GENERADOS A CONTAR DEL 01.01.2017</t>
  </si>
  <si>
    <t>Rentas generadas hasta el 31.12.1983 y/o utilidades afectadas con impuesto sustitutivo al FUT (ISFUT) LEY N°21.210</t>
  </si>
  <si>
    <t>Rentas Exentas de Impuesto Global Complementario (IGC) (Artículo 11, Ley 18.401), Afectas a Impuesto Adicional</t>
  </si>
  <si>
    <t>Rentas Exentas de Impuesto Global Complementario (IGC) y/o Impuesto Adicional (IA)</t>
  </si>
  <si>
    <t>No Sujetos a Restitución generados Hasta el 31.12.2019</t>
  </si>
  <si>
    <t>(20)</t>
  </si>
  <si>
    <t>(21)</t>
  </si>
  <si>
    <t>(22)</t>
  </si>
  <si>
    <t>(23)</t>
  </si>
  <si>
    <t>(24)</t>
  </si>
  <si>
    <t>(25)</t>
  </si>
  <si>
    <t>(26)</t>
  </si>
  <si>
    <t>(27)</t>
  </si>
  <si>
    <t>(28)</t>
  </si>
  <si>
    <t>(29)</t>
  </si>
  <si>
    <t>(30)</t>
  </si>
  <si>
    <t>Impuesto corporativo soportado en el extranjero……………………………………………………………………………………………………………..</t>
  </si>
  <si>
    <t xml:space="preserve"> - Renta neta………………………………………………………………………………………………………………………………………………………</t>
  </si>
  <si>
    <t>Pérdidas en relación al dividendo…………………………………………………………………………………………………………………………………….</t>
  </si>
  <si>
    <t>Sin derecho a crédito</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</si>
  <si>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</si>
  <si>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</si>
  <si>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</si>
  <si>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</si>
  <si>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</si>
  <si>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</si>
  <si>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</si>
  <si>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</si>
  <si>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</si>
  <si>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</si>
  <si>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</si>
  <si>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</si>
  <si>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</si>
  <si>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</si>
  <si>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</si>
  <si>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</si>
  <si>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</si>
  <si>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</si>
  <si>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</si>
  <si>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</si>
  <si>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</si>
  <si>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</si>
  <si>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</si>
  <si>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</si>
  <si>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</si>
  <si>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</si>
  <si>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</si>
  <si>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</si>
  <si>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</si>
  <si>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</si>
  <si>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</si>
  <si>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</si>
  <si>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</si>
  <si>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 xml:space="preserve">Sección C: </t>
  </si>
  <si>
    <t>(31)</t>
  </si>
  <si>
    <t>(32)</t>
  </si>
  <si>
    <t>(33)</t>
  </si>
  <si>
    <t>(34)</t>
  </si>
  <si>
    <t>(35)</t>
  </si>
  <si>
    <t>(36)</t>
  </si>
  <si>
    <t>(37)</t>
  </si>
  <si>
    <t>$</t>
  </si>
  <si>
    <t xml:space="preserve">
Se extiende el presente certificado en cumplimiento de lo dispuesto en la Resolución Ex. N°98 de 2020 del Servicio de Impuestos Internos y sus modificaciones posteriores.
</t>
  </si>
  <si>
    <t>Nombre, N° RUT y Firma del Representante Legal</t>
  </si>
  <si>
    <t>Teatinos 120</t>
  </si>
  <si>
    <t xml:space="preserve">Servicio </t>
  </si>
  <si>
    <t>Anual</t>
  </si>
  <si>
    <t xml:space="preserve">Dividendo 4, afecto a imptos. finales </t>
  </si>
  <si>
    <t>(=) RLI Invertida …………………………………………………………………………………………………………………………………………..........</t>
  </si>
  <si>
    <t>Remanente ejercicio anterior histórico……………………………………………………..........</t>
  </si>
  <si>
    <t>DETERMINACIÓN BASE IMPONIBLE DE PRIMERA CATEGORÍA, RÉGIMEN PRO PYME (ART. 14 LETRA D) N° 3 LIR)</t>
  </si>
  <si>
    <t>(-)  Retiros del ejercicio y crédito por IDPC</t>
  </si>
  <si>
    <t>Intereses y reajustes percibidos por préstamos y otros</t>
  </si>
  <si>
    <t>RUT REPRESENTANTE LEGAL</t>
  </si>
  <si>
    <t xml:space="preserve"> RUT DEL RESPONSABLE DE LA CONFECCIÓN DEL REGISTRO</t>
  </si>
  <si>
    <t>RENTA</t>
  </si>
  <si>
    <t>Declaración Jurada anual sobre retiros, remesas y/o dividendos distribuidos,  o cantidades distribuidas a cualquier título  y créditos correspondientes, efectuados por contribuyentes sujetos al régimen de la letra A) y al número 3 de la letra D) del artículo 14 de la LIR,  y sobre saldo de retiros en exceso pendientes de imputación.</t>
  </si>
  <si>
    <t>F 1948</t>
  </si>
  <si>
    <t>DIVIDENDO N°</t>
  </si>
  <si>
    <t>RUT DEL PLENO PROPIETARIO  O USUFRUCTUARIO  RECEPTOR DEL RETIRO, REMESA Y/O DIVIDENDO DISTRIBUIDO</t>
  </si>
  <si>
    <t>USUFRUCTUARIO O NUDO PROPIETARIO DE LA ACCIÓN O DERECHO SOCIAL</t>
  </si>
  <si>
    <t>MONTO HISTÓRICO</t>
  </si>
  <si>
    <t>FACTOR ACTUALIZACIÓN</t>
  </si>
  <si>
    <t>MONTOS DE DIVIDENDOS REAJUSTADOS ($)</t>
  </si>
  <si>
    <t>TASA EFECTIVA DEL CRÉDITO DEL FUT (TEF)</t>
  </si>
  <si>
    <t>Fecha del retiro, remesa y/o dividendo distribuido</t>
  </si>
  <si>
    <t>RUT del Pleno Propietario  o Usufructuario  receptor del retiro, remesa y/o dividendo distribuido</t>
  </si>
  <si>
    <t>Usufructuario o Nudo Propietario de la acción o derecho social</t>
  </si>
  <si>
    <t>Cantidad de acciones al 31/12</t>
  </si>
  <si>
    <t>MONTOS DE RETIROS, REMESAS O DIVIDENDOS REAJUSTADOS ($)</t>
  </si>
  <si>
    <t>CRÉDITOS PARA IMPUESTO GLOBAL COMPLEMENTARIO O ADICIONAL</t>
  </si>
  <si>
    <t>Devolución de capital Art.17 N° 7 LIR.</t>
  </si>
  <si>
    <t>TASA EFECTIVA DEL CRÉDITO DEL FUNT (TEX)</t>
  </si>
  <si>
    <t>MONTO ACTUALIZADO</t>
  </si>
  <si>
    <t>MONTO AFECTO A IMPUESTO  GLOBAL COMPLEMENTARIO Y/O  IMPUESTO ADICIONAL</t>
  </si>
  <si>
    <t>RENTAS EXENTAS E INGRESOS NO CONSTITUTIVOS DE RENTA (REX)</t>
  </si>
  <si>
    <t>ACUMULADOS A CONTAR DEL  01.01.2017</t>
  </si>
  <si>
    <t>ACUMULADOS HASTA EL 31.12.2016</t>
  </si>
  <si>
    <t>CRÉDITO POR IMPUESTO TASA ADICIONAL, EX ART. 21 LIR.</t>
  </si>
  <si>
    <t xml:space="preserve">RENTAS EXENTAS   </t>
  </si>
  <si>
    <t>INGRESOS NO CONSTITUTIVOS DE RENTA</t>
  </si>
  <si>
    <t>ASOCIADOS A RENTAS AFECTAS</t>
  </si>
  <si>
    <t>ASOCIADOS A RENTAS EXENTAS 
(artículo 11, Ley 18.401)</t>
  </si>
  <si>
    <t>CRÉDITO POR IPE</t>
  </si>
  <si>
    <t>RENTAS PROVENIENTES DEL REGISTRO RAP Y DIFERENCIA INICIAL DE SOCIEDAD ACOGIDA AL EX ART. 14 TER A) LIR</t>
  </si>
  <si>
    <t>OTRAS RENTAS PERCIBIDAS SIN PRIORIDAD EN SU ORDEN DE IMPUTACIÓN</t>
  </si>
  <si>
    <t>EXCESO DISTRIBUCIONES DESPROPORCIONADAS 
(N°9 ART.14 A)</t>
  </si>
  <si>
    <t>UTILIDADES AFECTADAS CON IMPUESTO SUSTITUTIVO AL FUT (ISFUT) LEY N°20.780</t>
  </si>
  <si>
    <t>Utilidades afectadas con impuesto sustitutivo al FUT (ISFUT) Ley N°20.780</t>
  </si>
  <si>
    <t xml:space="preserve">Pérdida tributaria del ejercicio al 31 de diciembre </t>
  </si>
  <si>
    <t>Saldo negativo del registro REX al término del ejercicio</t>
  </si>
  <si>
    <t>Subtotal</t>
  </si>
  <si>
    <t>Saldo positivo del registro REX al término del ejercicio, antes de imputaciones</t>
  </si>
  <si>
    <t>No Sujetos a Restitución generados a contar del 01.01.2020</t>
  </si>
  <si>
    <t>Sin derecho a devolución</t>
  </si>
  <si>
    <t>Con derecho a devolución</t>
  </si>
  <si>
    <t>Con crédito por IDPC generados a contar del 01.01.2017</t>
  </si>
  <si>
    <t>Con crédito por IDPC acumulados  hasta el 31.12.2016</t>
  </si>
  <si>
    <t>Con  derecho a crédito por pago de IDPC voluntario</t>
  </si>
  <si>
    <t>Pérdida por rentas exentas e ingresos no renta del ejercicio</t>
  </si>
  <si>
    <t>Retiros o dividendos percibidos en el ejercicio por participaciones en otras empresas</t>
  </si>
  <si>
    <t>Utilidades percibidas afectas a impuestos finales imputadas a la pérdida tributaria del ejercicio</t>
  </si>
  <si>
    <t>Crédito total disponible imputable contra impuestos finales (IPE), del ejercicio</t>
  </si>
  <si>
    <t>Base del IDPC voluntario según art. 14 letra A) N° 6 LIR</t>
  </si>
  <si>
    <t>Otras partidas a agregar</t>
  </si>
  <si>
    <t>Otras partidas a deducir</t>
  </si>
  <si>
    <t>RENTAS CON TRIBUTACIÓN CUMPLIDA</t>
  </si>
  <si>
    <t>RENTAS EXENTAS</t>
  </si>
  <si>
    <t>INR</t>
  </si>
  <si>
    <t>ISFUT</t>
  </si>
  <si>
    <t>OTRAS</t>
  </si>
  <si>
    <t>Aumentos del ejercicio (por reorganizaciones)</t>
  </si>
  <si>
    <t>ANTECEDENTES DE RETIROS EN EXCESO (Detalle de saldos pendientes de imputación)</t>
  </si>
  <si>
    <t>RUT del beneficiario del retiro (titular o cesionario)</t>
  </si>
  <si>
    <t xml:space="preserve">Montos de retiros en exceso, reajustados ($)
</t>
  </si>
  <si>
    <t>C34</t>
  </si>
  <si>
    <t>C35</t>
  </si>
  <si>
    <t xml:space="preserve">Total de casos Informados </t>
  </si>
  <si>
    <t>Exentos de impuesto global complementario (IGC) y/o impuesto adicional (IA)</t>
  </si>
  <si>
    <t>Asociados a Rentas Exentas (artículo 11, Ley 18.401)</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</si>
  <si>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</si>
  <si>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</si>
  <si>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</si>
  <si>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</si>
  <si>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</si>
  <si>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</si>
  <si>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</si>
  <si>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</si>
  <si>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</si>
  <si>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</si>
  <si>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</si>
  <si>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</si>
  <si>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</si>
  <si>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</si>
  <si>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</si>
  <si>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</si>
  <si>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</si>
  <si>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</si>
  <si>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</si>
  <si>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</si>
  <si>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</si>
  <si>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</si>
  <si>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</si>
  <si>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</si>
  <si>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</si>
  <si>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</si>
  <si>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</si>
  <si>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</si>
  <si>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</si>
  <si>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</si>
  <si>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</si>
  <si>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Rentas de fuente extranjera percibidas</t>
  </si>
  <si>
    <t>Mayor valor percibido por rescate o enajenación de inversiones o bienes no depreciables</t>
  </si>
  <si>
    <t>Ingresos percibidos o devengados por operaciones con empresas relacionadas del art. 14 letra A) LIR</t>
  </si>
  <si>
    <t>Otros ingresos percibidos o devengados</t>
  </si>
  <si>
    <t>Gasto por saldo inicial de existencias o insumos del negocio en cambio de régimen, pagados</t>
  </si>
  <si>
    <t>Sección A: IDENTIFICACIÓN DEL DECLARANTE</t>
  </si>
  <si>
    <t>FOLIO</t>
  </si>
  <si>
    <t>ROL ÚNICO TRIBUTARIO</t>
  </si>
  <si>
    <t>NOMBRE O RAZÓN SOCIAL</t>
  </si>
  <si>
    <t xml:space="preserve">DOMICILIO </t>
  </si>
  <si>
    <t>COMUNA</t>
  </si>
  <si>
    <t xml:space="preserve">CORREO ELECTRÓNICO </t>
  </si>
  <si>
    <t>TELÉFONO</t>
  </si>
  <si>
    <t xml:space="preserve">Sección B: </t>
  </si>
  <si>
    <t>ANTECEDENTES DE LOS INFORMADOS (Receptor de los retiros, remesas o dividendos. Persona natural o jurídica)</t>
  </si>
  <si>
    <t>Amortización de intangibles, art. 22° transitorio bis, inc. 4°, 5° y 6° Ley N° 21.210</t>
  </si>
  <si>
    <t>Partidas del art. 21 inciso 1° y 3° LIR pagados</t>
  </si>
  <si>
    <t>Partidas del art. 21 inc. 1° no afectados con IU 40% y del inc. 2° LIR pagados</t>
  </si>
  <si>
    <t>Pérdida en rescate o enajenación de inversiones o bienes no depreciables</t>
  </si>
  <si>
    <t>Otros gastos deducibles de los ingresos</t>
  </si>
  <si>
    <t>Gastos o egresos pagados o adeudados por operaciones con empresas relacionadas del art. 14 letra A) LIR</t>
  </si>
  <si>
    <t>Pérdidas tributarias de ejercicios anteriores</t>
  </si>
  <si>
    <t>Créditos incobrables castigados en el ejercicio (reconocidos sobre ingresos devengados)</t>
  </si>
  <si>
    <t>Número de Certificado</t>
  </si>
  <si>
    <t>Afectos a los Impuestos Global Complementario y/o Impuesto Adicional</t>
  </si>
  <si>
    <t>Rentas Exentas e Ingresos No Constitutivos de Renta (REX)</t>
  </si>
  <si>
    <t>Acumulados a Contar del 01.01.2017</t>
  </si>
  <si>
    <t>Acumulados Hasta el 31.12.2016</t>
  </si>
  <si>
    <t>Crédito por impuesto tasa adicional, Ex. Art. 21  LIR.</t>
  </si>
  <si>
    <t>Rentas Con Tributación Cumplida</t>
  </si>
  <si>
    <t xml:space="preserve">Rentas Exentas </t>
  </si>
  <si>
    <t>Ingresos No Constitutivos de  Renta</t>
  </si>
  <si>
    <t>Asociados a Rentas Afectas</t>
  </si>
  <si>
    <t xml:space="preserve">Crédito por IPE </t>
  </si>
  <si>
    <t>Rentas provenientes del registro RAP y Diferencia Inicial de sociedad acogida al ex Art. 14 TER A) LIR</t>
  </si>
  <si>
    <t>Otras rentas percibidas Sin Prioridad en su orden de imputación</t>
  </si>
  <si>
    <t>Exceso Distribuciones Desproporcionadas 
(N°9 Art.14 A)</t>
  </si>
  <si>
    <t>sin crédito</t>
  </si>
  <si>
    <t>Compra neta camioneta de reparto usada</t>
  </si>
  <si>
    <t>Pago intereses y multas fiscales</t>
  </si>
  <si>
    <t>PPM pagados</t>
  </si>
  <si>
    <t>Retiros del ejercicio socios 1 y 2</t>
  </si>
  <si>
    <t>Otros antecedentes</t>
  </si>
  <si>
    <t>Socio Sr. Ortiz</t>
  </si>
  <si>
    <t xml:space="preserve">Socio Sr. Escudero </t>
  </si>
  <si>
    <t>(+) Base imponible ejercicio  ……………………………………………………………………………………………………………………………………………………….</t>
  </si>
  <si>
    <t>Determinación incentivo al ahorro (art.14 letra E) LIR)</t>
  </si>
  <si>
    <t xml:space="preserve">(-) Reverso RAI </t>
  </si>
  <si>
    <t>(+) RAI del ejercicio</t>
  </si>
  <si>
    <t>Saldo FUR  (cuando no haya sido considerado dentro del valor del capital aportado a la empresa)</t>
  </si>
  <si>
    <t>Aumentos (efectivos) de capital del ejercicio</t>
  </si>
  <si>
    <t>Disminuciones (efectivas) de capital del ejercicio</t>
  </si>
  <si>
    <t>Base imponible afecta a IDPC del ejercicio</t>
  </si>
  <si>
    <t>Rentas exentas e ingresos no renta (positivo), generados por la empresa en el ejercicio</t>
  </si>
  <si>
    <t>(-) Saldo registro REX positivo antes de imputación …………………………………....................................................................................................</t>
  </si>
  <si>
    <t>(=)  Capital Propio Tributario Simplificado …………………………………………………………………………....................................</t>
  </si>
  <si>
    <t>IDPC , tasa</t>
  </si>
  <si>
    <t>Art. 14 letra A)</t>
  </si>
  <si>
    <t>Art. 14 letra D) N°3</t>
  </si>
  <si>
    <t>Art. 14 letra D) N° 3</t>
  </si>
  <si>
    <t>TOTAL GASTOS RECHAZADOS INCISO SEGUNDO DEL ARTÍCULO 21</t>
  </si>
  <si>
    <t>(+) Incentivo al ahorro art. 14 letra E) …………………………...…………………………………………………………………………………………………………………………………………………………………….</t>
  </si>
  <si>
    <t>Reajuste PPM Pagados</t>
  </si>
  <si>
    <t>Disminuciones del ejercicio (por reorganizaciones)</t>
  </si>
  <si>
    <t>Aumentos del ejercicio (propios)</t>
  </si>
  <si>
    <t>Otros aumentos del ejercicio</t>
  </si>
  <si>
    <t>Otras disminuciones del ejercicio</t>
  </si>
  <si>
    <t>Remanente ejercicio siguiente (saldo positivo)</t>
  </si>
  <si>
    <t>Remanente ejercicio siguiente (saldo negativo)</t>
  </si>
  <si>
    <t>Acumulados a contar desde el 01.01.2017</t>
  </si>
  <si>
    <t>Acumulados hasta el 31.12.2016</t>
  </si>
  <si>
    <t>Sujeto a Restitución</t>
  </si>
  <si>
    <t>IPE</t>
  </si>
  <si>
    <t>Sin D° Devolución</t>
  </si>
  <si>
    <t>Con D° Devolución</t>
  </si>
  <si>
    <t xml:space="preserve">Remanente ejercicio siguiente (saldo negativo) </t>
  </si>
  <si>
    <t xml:space="preserve"> </t>
  </si>
  <si>
    <t>No Sujeto a Restitución</t>
  </si>
  <si>
    <t>+</t>
  </si>
  <si>
    <t>-</t>
  </si>
  <si>
    <t>=</t>
  </si>
  <si>
    <t>PERCIBIDO O PAGADO</t>
  </si>
  <si>
    <t>Determinación del Capital Propio Tributario al 31.12.2019:</t>
  </si>
  <si>
    <t>Incentivo al Ahorro</t>
  </si>
  <si>
    <t>Cuenta Particular</t>
  </si>
  <si>
    <t>Acciones</t>
  </si>
  <si>
    <t>RLI Ejercicio</t>
  </si>
  <si>
    <t>Retiros del Ejercicio</t>
  </si>
  <si>
    <t>Beneficio 14 Ter C</t>
  </si>
  <si>
    <t>Retiros Provisorios</t>
  </si>
  <si>
    <t>CPT PROYECTADO</t>
  </si>
  <si>
    <t>RAZONABILIDAD DEL CPT</t>
  </si>
  <si>
    <t>RLI inv.</t>
  </si>
  <si>
    <t>IV.</t>
  </si>
  <si>
    <t>Banco</t>
  </si>
  <si>
    <t>Dividendos Percibidos</t>
  </si>
  <si>
    <t>Sujetos a Restitución</t>
  </si>
  <si>
    <t>4.- Gastos Rechazados</t>
  </si>
  <si>
    <t xml:space="preserve">3.- IDPC Dividendos Percibidos </t>
  </si>
  <si>
    <t>IDPC POR PAGAR</t>
  </si>
  <si>
    <t>Gasto por saldo inicial de activos fijos depreciables en cambio de régimen, pagados</t>
  </si>
  <si>
    <t>Gasto por pérdida tributaria en cambio de régimen</t>
  </si>
  <si>
    <t>Gastos de rentas de fuente extranjera, pagados</t>
  </si>
  <si>
    <t>Remuneraciones pagadas</t>
  </si>
  <si>
    <t>Honorarios pagados</t>
  </si>
  <si>
    <t>Adquisición de bienes del activo fijo, pagados</t>
  </si>
  <si>
    <t>Servicios pagados</t>
  </si>
  <si>
    <t>Arriendos pagados</t>
  </si>
  <si>
    <t>Intereses y reajustes pagados por préstamos y otros</t>
  </si>
  <si>
    <t>Pagados ($)</t>
  </si>
  <si>
    <t>Históricos ($)</t>
  </si>
  <si>
    <t>Actualizados ($)</t>
  </si>
  <si>
    <t>Neto ($)</t>
  </si>
  <si>
    <t>($)</t>
  </si>
  <si>
    <t xml:space="preserve">RAP </t>
  </si>
  <si>
    <t>Percibidos ($)</t>
  </si>
  <si>
    <t>Percibidos $</t>
  </si>
  <si>
    <t>i)</t>
  </si>
  <si>
    <t xml:space="preserve">ii) </t>
  </si>
  <si>
    <t>Adeudados ($)</t>
  </si>
  <si>
    <t>Capital $</t>
  </si>
  <si>
    <t xml:space="preserve">Tasa IDPC </t>
  </si>
  <si>
    <t xml:space="preserve">Factor IDPC </t>
  </si>
  <si>
    <t xml:space="preserve">iii) </t>
  </si>
  <si>
    <t>iv)</t>
  </si>
  <si>
    <t>1.-</t>
  </si>
  <si>
    <t>Ingresos netos por venta computador</t>
  </si>
  <si>
    <t>(=) Sub total Base Imponible ..……………………………………………………………….....................................……...........................</t>
  </si>
  <si>
    <t>2.-</t>
  </si>
  <si>
    <t>(+) Total Dividendos percibidos ……………………………………………………………........................................................................................</t>
  </si>
  <si>
    <t>Gastos aceptados por donaciones</t>
  </si>
  <si>
    <t>Incentivo al ahorro según art. 14 letra E) LIR</t>
  </si>
  <si>
    <t>Base Imponible afecta a IDPC (o pérdida tributaria antes de imputar dividendos o retiros percibidos) del ejercicio</t>
  </si>
  <si>
    <t>IMPUTACIONES A LA PÉRDIDA TRIBUTARIA DEL EJERCICIO</t>
  </si>
  <si>
    <t>Monto del crédito ($)</t>
  </si>
  <si>
    <t>con crédito por IDPC sujeto a restitución con D° dev.</t>
  </si>
  <si>
    <t xml:space="preserve">Dividendo 2, afecto a Imptos finales </t>
  </si>
  <si>
    <t>con crédito por IDPC NO sujeto a restitución con D° dev.</t>
  </si>
  <si>
    <t>Dividendo 3, afecto a imptos. finales</t>
  </si>
  <si>
    <t>con crédito por IDPC acumulado al 31.12.2016 con D° dev.</t>
  </si>
  <si>
    <t>TOTAL OTROS INGRESOS DEL EJERCICIO</t>
  </si>
  <si>
    <t>INGRESOS DEL GIRO</t>
  </si>
  <si>
    <t>DIVIDENDOS PERCIBIDOS</t>
  </si>
  <si>
    <t>TOTAL DIVIDENDOS PERCIBIDOS</t>
  </si>
  <si>
    <t>EGRESOS</t>
  </si>
  <si>
    <t>Régimen empresa fuente</t>
  </si>
  <si>
    <t>OTROS INGRESOS</t>
  </si>
  <si>
    <t>Honorarios del ejercicio</t>
  </si>
  <si>
    <t>Gastos generales</t>
  </si>
  <si>
    <t>DETALLE DE LOS RETIROS DEL EJERCICIO</t>
  </si>
  <si>
    <t>DETALLE DE LOS PPM PAGADOS DEL EJERCICIO</t>
  </si>
  <si>
    <t>TOTAL RETIROS DEL EJERCICIO</t>
  </si>
  <si>
    <t xml:space="preserve">Amortización ejercicio crédito otorgado por Banco </t>
  </si>
  <si>
    <t>I.</t>
  </si>
  <si>
    <t>II.</t>
  </si>
  <si>
    <t>III.</t>
  </si>
  <si>
    <t>(+/-) REX percibidos</t>
  </si>
  <si>
    <t>(+) Crédito por IDPC sobre RLI</t>
  </si>
  <si>
    <t>Percibido ($)</t>
  </si>
  <si>
    <t>No Percibido ($)</t>
  </si>
  <si>
    <t>Dividendo 5, Ingreso No Constitutivo de Renta</t>
  </si>
  <si>
    <t>Crédito otorgado por Banco</t>
  </si>
  <si>
    <t>Interés por préstamo $</t>
  </si>
  <si>
    <t>Remuneraciones del ejercicio monto Bruto</t>
  </si>
  <si>
    <t>Interés por préstamo</t>
  </si>
  <si>
    <t>Final</t>
  </si>
  <si>
    <t>Clientes</t>
  </si>
  <si>
    <t>Indice Noviembr de 2020</t>
  </si>
  <si>
    <t>Existencias</t>
  </si>
  <si>
    <t>Activo Fijo</t>
  </si>
  <si>
    <t>Proveedores</t>
  </si>
  <si>
    <t>Capital Aportado</t>
  </si>
  <si>
    <t>Resultado del Ejercicio</t>
  </si>
  <si>
    <t>ESTADO DE RESULTADOS</t>
  </si>
  <si>
    <t>DETERMINACION RLI</t>
  </si>
  <si>
    <t>Ventas</t>
  </si>
  <si>
    <t>Costo de Ventas</t>
  </si>
  <si>
    <t>Agregados</t>
  </si>
  <si>
    <t>Gastos Generales</t>
  </si>
  <si>
    <t>Remuneraciones</t>
  </si>
  <si>
    <t>Deducciones</t>
  </si>
  <si>
    <t>Depreciación</t>
  </si>
  <si>
    <t>Corrección Monetaria CPT</t>
  </si>
  <si>
    <t>RESULTADO TRIBUTARIO</t>
  </si>
  <si>
    <t>Determinacion RAI</t>
  </si>
  <si>
    <t>Total Activo</t>
  </si>
  <si>
    <t>CPT</t>
  </si>
  <si>
    <t>Menos RAP</t>
  </si>
  <si>
    <t>RENTAS AFECTAS A IMPUESTO</t>
  </si>
  <si>
    <t>Pasivo Exigible</t>
  </si>
  <si>
    <t>Capital</t>
  </si>
  <si>
    <t>Proveedores (por gastos)</t>
  </si>
  <si>
    <t>RLI</t>
  </si>
  <si>
    <t>Retiros</t>
  </si>
  <si>
    <t>Deducción incentivo al ahorro art. 14 letra E) LIR (cantidad menor entre 50% RLI Invertida o 5.000 UF)</t>
  </si>
  <si>
    <t>(+) Crédito por IDPC sobre dividendo percibido</t>
  </si>
  <si>
    <t>Subtotal antes de imputaciones………………………………………………….....</t>
  </si>
  <si>
    <t>(-) Crédito IDPC  por gastos rechazados</t>
  </si>
  <si>
    <t>Acumulados desde 01.01.2017</t>
  </si>
  <si>
    <t>Hasta el 31.12.2016</t>
  </si>
  <si>
    <t>Con D Devolución</t>
  </si>
  <si>
    <t>1.-RLI del Ejercicio</t>
  </si>
  <si>
    <t>2.- Retiros del Ejercicio</t>
  </si>
  <si>
    <t>Saldo Final</t>
  </si>
  <si>
    <t>Año 2019</t>
  </si>
  <si>
    <t>año 2020</t>
  </si>
  <si>
    <t>Total</t>
  </si>
  <si>
    <t>TOTALES</t>
  </si>
  <si>
    <t>Menos Capital Actualizado</t>
  </si>
  <si>
    <t>Indice Abril 2019</t>
  </si>
  <si>
    <t>Ipc Abril a Diciembre de 2019</t>
  </si>
  <si>
    <t>Indice Abril  2019</t>
  </si>
  <si>
    <t>Indice Noviembre de 2019</t>
  </si>
  <si>
    <t>Menos Capital Histórico</t>
  </si>
  <si>
    <t>Detalle</t>
  </si>
  <si>
    <t>Rentas atribuidas Propias (RAP)</t>
  </si>
  <si>
    <t>Saldo acumulado de créditos</t>
  </si>
  <si>
    <t>Saldo Total de Utilidades Tributarias (STUT)</t>
  </si>
  <si>
    <t>(1) La ley N° 21.256 reduce transitoriamente la tasa de IDPC para las empresas acogidas al régimen Pro PYME contemplado en la letra D) del artículo 14 LIR, de 25% a 10%, por la rentas percibidas o devengadas que deban formar parte de su base imponible durante los ejercicios 2020, 2021 y 2022.</t>
  </si>
  <si>
    <t>Remanentes ejercicio siguiente …............……………………………………………</t>
  </si>
  <si>
    <t>INGRESOS NO RENTA</t>
  </si>
  <si>
    <t>INGRESOS DEL EJERCICIO</t>
  </si>
  <si>
    <t>EGRESOS DEL EJERCICIO</t>
  </si>
  <si>
    <t xml:space="preserve">TOTAL INGRESOS </t>
  </si>
  <si>
    <t>TOTAL OTROS INGRESOS</t>
  </si>
  <si>
    <t>BASE IMPONIBLE ANTES DE BENEFICIO INCENTIVO AL AHORRO</t>
  </si>
  <si>
    <t>BASE IMPONIBLE</t>
  </si>
  <si>
    <t>Arriendos</t>
  </si>
  <si>
    <t xml:space="preserve">  </t>
  </si>
  <si>
    <t>Participación</t>
  </si>
  <si>
    <t xml:space="preserve">Saldo inicial </t>
  </si>
  <si>
    <t>Impuesto de retención soportado en el extranjero……………...……………………………………………………………………………………………</t>
  </si>
  <si>
    <t>Cant. menor entre impuestos soportados y tope individual…………………….</t>
  </si>
  <si>
    <t>Ingresos del giro devengados en ejercicios anteriores y percibidos en el ejercicio actual</t>
    <phoneticPr fontId="33" type="noConversion"/>
  </si>
  <si>
    <t>Existencias, insumos y servicios del negocio adeudados en ejercicios anteriores y pagados en el ejercicio actual</t>
    <phoneticPr fontId="33" type="noConversion"/>
  </si>
  <si>
    <t xml:space="preserve">RECUADRO Nº 18: DETERMINACIÓN DEL RAI (ART. 14 LETRA D) N° 3 LIR)   
   </t>
    <phoneticPr fontId="33" type="noConversion"/>
  </si>
  <si>
    <t>Remesas, retiros o dividendos repartidos en el ejercicio, históricos</t>
    <phoneticPr fontId="33" type="noConversion"/>
  </si>
  <si>
    <t>CPT o CPTS positivo inicial</t>
    <phoneticPr fontId="33" type="noConversion"/>
  </si>
  <si>
    <t>(=) Rentas afectas del ejercicio  ……………………………………………………………………………………………………………………………………..</t>
  </si>
  <si>
    <t>Histórico ($)</t>
  </si>
  <si>
    <t>Total capital social aportado…………………………………………………………………………………………………………………………………………………………………………………………………………………………………….</t>
  </si>
  <si>
    <t>Neto factura ($)</t>
  </si>
  <si>
    <t>RAI</t>
  </si>
  <si>
    <t>REX</t>
  </si>
  <si>
    <t>RAP</t>
  </si>
  <si>
    <t>SAC</t>
  </si>
  <si>
    <t>DETALLE</t>
  </si>
  <si>
    <t>Acumulado a contar del 01.01.2017</t>
  </si>
  <si>
    <t>Acumulado hasta el 31.12.2016</t>
  </si>
  <si>
    <t>STUT</t>
  </si>
  <si>
    <t>Crédito por IDPC</t>
  </si>
  <si>
    <t>Factor</t>
  </si>
  <si>
    <t>No sujeto
Restitución</t>
  </si>
  <si>
    <t>Con
devolución</t>
  </si>
  <si>
    <t>Monto $</t>
  </si>
  <si>
    <t>CONTROL</t>
  </si>
  <si>
    <t>ANTECEDENTES</t>
  </si>
  <si>
    <t>TOTAL EGRESOS DEL EJERCICIO</t>
  </si>
  <si>
    <t>TOTAL INGRESOS DEL GIRO</t>
  </si>
  <si>
    <t xml:space="preserve">La sociedad  EC  &amp; GET Ltda., que hasta el 31.12.2019 estuvo sujeta al régimen de renta atribuida, a partir del 01.01.2020 se encuentra acogida al régimen Pro PYME establecido en el artículo 14, letra D), N° 3, de la LIR, optando por determinar su renta efectiva según contabilidad simplificada. </t>
  </si>
  <si>
    <t xml:space="preserve">Ventas netas año 2021 a entidades relacionadas sujetas al régimen Pro PYME (art. 14 letra D) N° 3 LIR) </t>
  </si>
  <si>
    <t xml:space="preserve">Dividendo 1, afectos a impto. finales </t>
  </si>
  <si>
    <t>Dividendo de fuente extranjera percibido con fecha 09.07.2021, en dólares, liquidado al tipo de cambio oficial de esa misma fecha</t>
    <phoneticPr fontId="33" type="noConversion"/>
  </si>
  <si>
    <t>CORRECCIÓN MONETARIA ANUAL</t>
  </si>
  <si>
    <t>CORRECCIÓN MONETARIA SEGÚN INDICES</t>
  </si>
  <si>
    <t>AÑO 2019</t>
  </si>
  <si>
    <t>Capital Aportado Originalmente</t>
  </si>
  <si>
    <t>Capital Original aportado</t>
  </si>
  <si>
    <t>Corrección Monetaria</t>
  </si>
  <si>
    <t>AÑO 2020</t>
  </si>
  <si>
    <t xml:space="preserve">Capital Actualizado al </t>
  </si>
  <si>
    <t>Capital Actualizado</t>
  </si>
  <si>
    <t>CORRECCIÓN MONETARIA SEGÚN INDICE 2020</t>
  </si>
  <si>
    <t>MOVIMIENTOS</t>
  </si>
  <si>
    <t>Inicial</t>
  </si>
  <si>
    <t xml:space="preserve">Aumento </t>
  </si>
  <si>
    <t>Disminuye</t>
  </si>
  <si>
    <t>CPT o CPTS negativo inicial</t>
    <phoneticPr fontId="33" type="noConversion"/>
  </si>
  <si>
    <t>Capital aportado empresas que inician actividades en el año comercial que corresponda a esta declaración</t>
    <phoneticPr fontId="33" type="noConversion"/>
  </si>
  <si>
    <t>Partidas del inciso primero no afectas al IU de tasa 40% y del inciso segundo del art. 21 LIR</t>
    <phoneticPr fontId="33" type="noConversion"/>
  </si>
  <si>
    <t>CUADRO RESUMEN FINAL DE LA DECLARACIÓN</t>
  </si>
  <si>
    <t>DECLARO BAJO JURAMENTO QUE LOS DATOS CONTENIDOS EN EL PRESENTE DOCUMENTO SON LA EXPRESIÓN FIEL DE LA VERDAD, POR LO QUE ASUMO LA RESPONSABILIDAD CORRESPONDIENTE</t>
  </si>
  <si>
    <t>Nombre o Razón Social</t>
  </si>
  <si>
    <t xml:space="preserve">SOBRE SITUACIÓN TRIBUTARIA DE RETIROS, REMESAS Y/O DIVIDENDOS DISTRIBUIDOS Y CRÉDITOS CORRESPONDIENTES EFECTUADOS POR CONTRIBUYENTES SUJETOS AL RÉGIMEN DE LA LETRA A) O AL RÉGIMEN DEL NUMERO 3 DE LA LETRA D) DEL ARTÍCULO 14 DE LA LIR.  </t>
  </si>
  <si>
    <t>DEVOLUCIÓN DE CAPITAL ART.17 N° 7 LIR.</t>
  </si>
  <si>
    <t>Declaro bajo juramento que los datos contenidos en el presente documento son la expresión fiel de la verdad, por lo que asumo la responsabilidad correspondiente</t>
  </si>
  <si>
    <t>CAPITAL PROPIO TRIBUTARIO</t>
  </si>
  <si>
    <t>Dividendos</t>
  </si>
  <si>
    <t>GR</t>
  </si>
  <si>
    <t>CAPITAL PROPIO SIMPLIFICADO</t>
  </si>
  <si>
    <t>Régimen tributario…………………………………………………….………….....……………….............</t>
  </si>
  <si>
    <t>Cobro factura emitida en diciembre de 2020 a entidad no relacionada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</si>
</sst>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quot;$&quot;#,##0.00;&quot;$&quot;\-#,##0.00"/>
    <numFmt numFmtId="165" formatCode="_ &quot;$&quot;* #,##0_ ;_ &quot;$&quot;* \-#,##0_ ;_ &quot;$&quot;* &quot;-&quot;_ ;_ @_ "/>
    <numFmt numFmtId="166" formatCode="_ * #,##0_ ;_ * \-#,##0_ ;_ * &quot;-&quot;_ ;_ @_ "/>
    <numFmt numFmtId="167" formatCode="_ &quot;$&quot;* #,##0.00_ ;_ &quot;$&quot;* \-#,##0.00_ ;_ &quot;$&quot;* &quot;-&quot;??_ ;_ @_ "/>
    <numFmt numFmtId="168" formatCode="_ * #,##0.00_ ;_ * \-#,##0.00_ ;_ * &quot;-&quot;??_ ;_ @_ "/>
    <numFmt numFmtId="169" formatCode="#,##0;\(#,##0\)"/>
    <numFmt numFmtId="170" formatCode="#,##0.000000"/>
    <numFmt numFmtId="171" formatCode="_-* #,##0\ _$_-;\-* #,##0\ _$_-;_-* &quot;-&quot;??\ _$_-;_-@_-"/>
    <numFmt numFmtId="172" formatCode="_-* #,##0.000000\ _$_-;\-* #,##0.000000\ _$_-;_-* &quot;-&quot;??\ _$_-;_-@_-"/>
    <numFmt numFmtId="173" formatCode="#,##0.000_ ;\-#,##0.000\ "/>
    <numFmt numFmtId="174" formatCode="&quot;$&quot;\ #,##0"/>
    <numFmt numFmtId="175" formatCode="0.0%"/>
    <numFmt numFmtId="176" formatCode="#,##0.00000"/>
    <numFmt numFmtId="177" formatCode="_-* #,##0.00\ _$_-;\-* #,##0.00\ _$_-;_-* &quot;-&quot;??\ _$_-;_-@_-"/>
    <numFmt numFmtId="178" formatCode="#,##0.000"/>
    <numFmt numFmtId="179" formatCode="_-&quot;$&quot;\ * #,##0_-;\-&quot;$&quot;\ * #,##0_-;_-&quot;$&quot;\ * &quot;-&quot;??_-;_-@_-"/>
    <numFmt numFmtId="180" formatCode="#,##0_ ;\-#,##0\ "/>
    <numFmt numFmtId="181" formatCode="&quot;$&quot;#,##0;[Red]&quot;$&quot;\(#,##0\)"/>
    <numFmt numFmtId="182" formatCode="#,##0.000000;\(#,##0.000000\)"/>
    <numFmt numFmtId="183" formatCode="_ &quot;$&quot;* #,##0.000000_ ;_ &quot;$&quot;* \-#,##0.000000_ ;_ &quot;$&quot;* &quot;-&quot;_ ;_ @_ "/>
    <numFmt numFmtId="184" formatCode="dd/mm/yyyy;@"/>
    <numFmt numFmtId="185" formatCode="_ &quot;$&quot;* #,##0.00_ ;_ &quot;$&quot;* \-#,##0.00_ ;_ &quot;$&quot;* &quot;-&quot;_ ;_ @_ "/>
  </numFmts>
  <fonts count="36" x14ac:knownFonts="1">
    <font>
      <sz val="11"/>
      <color theme="1"/>
      <name val="Calibri"/>
      <family val="2"/>
      <scheme val="minor"/>
    </font>
    <font>
      <sz val="10"/>
      <name val="Arial"/>
      <family val="2"/>
    </font>
    <font>
      <sz val="10"/>
      <name val="Calibri"/>
      <family val="2"/>
      <scheme val="minor"/>
    </font>
    <font>
      <b/>
      <sz val="14"/>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1"/>
      <color theme="0"/>
      <name val="Calibri"/>
      <family val="2"/>
      <scheme val="minor"/>
    </font>
    <font>
      <sz val="9"/>
      <name val="Calibri"/>
      <family val="2"/>
      <scheme val="minor"/>
    </font>
    <font>
      <b/>
      <sz val="10"/>
      <color theme="1"/>
      <name val="Calibri"/>
      <family val="2"/>
      <scheme val="minor"/>
    </font>
    <font>
      <b/>
      <sz val="14"/>
      <color rgb="FF0000FF"/>
      <name val="Calibri"/>
      <family val="2"/>
      <scheme val="minor"/>
    </font>
    <font>
      <b/>
      <sz val="9"/>
      <name val="Calibri"/>
      <family val="2"/>
      <scheme val="minor"/>
    </font>
    <font>
      <b/>
      <sz val="11"/>
      <name val="Calibri"/>
      <family val="2"/>
      <scheme val="minor"/>
    </font>
    <font>
      <b/>
      <sz val="11"/>
      <color rgb="FF0000FF"/>
      <name val="Calibri"/>
      <family val="2"/>
      <scheme val="minor"/>
    </font>
    <font>
      <sz val="9"/>
      <color rgb="FFFF0000"/>
      <name val="Calibri"/>
      <family val="2"/>
      <scheme val="minor"/>
    </font>
    <font>
      <sz val="8"/>
      <color theme="1"/>
      <name val="Calibri"/>
      <family val="2"/>
      <scheme val="minor"/>
    </font>
    <font>
      <sz val="12"/>
      <color theme="1"/>
      <name val="Calibri"/>
      <family val="2"/>
      <scheme val="minor"/>
    </font>
    <font>
      <sz val="10"/>
      <name val="Times New Roman"/>
      <family val="1"/>
    </font>
    <font>
      <sz val="11"/>
      <name val="Calibri"/>
      <family val="2"/>
      <scheme val="minor"/>
    </font>
    <font>
      <b/>
      <sz val="10"/>
      <name val="Arial"/>
      <family val="2"/>
    </font>
    <font>
      <sz val="11"/>
      <color rgb="FF00B050"/>
      <name val="Calibri"/>
      <family val="2"/>
      <scheme val="minor"/>
    </font>
    <font>
      <b/>
      <sz val="12"/>
      <color rgb="FFFF0000"/>
      <name val="Calibri"/>
      <family val="2"/>
      <scheme val="minor"/>
    </font>
    <font>
      <sz val="12"/>
      <color theme="0"/>
      <name val="Calibri"/>
      <family val="2"/>
      <scheme val="minor"/>
    </font>
    <font>
      <sz val="11"/>
      <name val="Calibri"/>
      <family val="2"/>
    </font>
    <font>
      <b/>
      <sz val="14"/>
      <color indexed="10"/>
      <name val="Calibri"/>
      <family val="2"/>
    </font>
    <font>
      <b/>
      <sz val="14"/>
      <color indexed="12"/>
      <name val="Calibri"/>
      <family val="2"/>
    </font>
    <font>
      <sz val="16"/>
      <name val="Calibri"/>
      <family val="2"/>
    </font>
    <font>
      <sz val="11"/>
      <color indexed="8"/>
      <name val="Calibri"/>
      <family val="2"/>
    </font>
    <font>
      <u/>
      <sz val="10"/>
      <name val="Arial"/>
      <family val="2"/>
    </font>
    <font>
      <sz val="10"/>
      <color indexed="8"/>
      <name val="Arial"/>
      <family val="2"/>
    </font>
    <font>
      <b/>
      <sz val="11"/>
      <color rgb="FFFF0000"/>
      <name val="Calibri"/>
      <family val="2"/>
      <scheme val="minor"/>
    </font>
    <font>
      <sz val="8"/>
      <name val="Verdana"/>
      <family val="2"/>
    </font>
    <font>
      <b/>
      <u/>
      <sz val="10"/>
      <name val="Arial"/>
      <family val="2"/>
    </font>
    <font>
      <b/>
      <sz val="11"/>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lightDown">
        <fgColor auto="1"/>
      </patternFill>
    </fill>
    <fill>
      <patternFill patternType="lightDown">
        <bgColor auto="1"/>
      </patternFill>
    </fill>
    <fill>
      <patternFill patternType="solid">
        <fgColor indexed="9"/>
        <bgColor indexed="64"/>
      </patternFill>
    </fill>
    <fill>
      <patternFill patternType="solid">
        <fgColor theme="0" tint="-0.14999847407452621"/>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right style="thin">
        <color indexed="64"/>
      </right>
      <top/>
      <bottom style="thin">
        <color indexed="64"/>
      </bottom>
      <diagonal/>
    </border>
    <border>
      <left style="hair">
        <color auto="1"/>
      </left>
      <right style="hair">
        <color auto="1"/>
      </right>
      <top/>
      <bottom style="hair">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hair">
        <color rgb="FF0033CC"/>
      </top>
      <bottom style="hair">
        <color rgb="FF0033CC"/>
      </bottom>
      <diagonal/>
    </border>
    <border>
      <left style="medium">
        <color indexed="64"/>
      </left>
      <right style="thin">
        <color indexed="64"/>
      </right>
      <top style="thin">
        <color indexed="64"/>
      </top>
      <bottom style="medium">
        <color indexed="64"/>
      </bottom>
      <diagonal/>
    </border>
    <border>
      <left style="medium">
        <color indexed="64"/>
      </left>
      <right style="thick">
        <color rgb="FF0033CC"/>
      </right>
      <top style="medium">
        <color indexed="64"/>
      </top>
      <bottom/>
      <diagonal/>
    </border>
    <border>
      <left style="thick">
        <color rgb="FF0033CC"/>
      </left>
      <right style="medium">
        <color indexed="64"/>
      </right>
      <top style="medium">
        <color indexed="64"/>
      </top>
      <bottom/>
      <diagonal/>
    </border>
    <border>
      <left style="medium">
        <color indexed="64"/>
      </left>
      <right style="thick">
        <color rgb="FF0033CC"/>
      </right>
      <top/>
      <bottom style="medium">
        <color indexed="64"/>
      </bottom>
      <diagonal/>
    </border>
    <border>
      <left style="thick">
        <color rgb="FF0033CC"/>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hair">
        <color rgb="FF0033CC"/>
      </bottom>
      <diagonal/>
    </border>
    <border>
      <left style="thin">
        <color indexed="64"/>
      </left>
      <right style="medium">
        <color indexed="64"/>
      </right>
      <top style="hair">
        <color indexed="64"/>
      </top>
      <bottom style="hair">
        <color indexed="64"/>
      </bottom>
      <diagonal/>
    </border>
    <border>
      <left style="hair">
        <color auto="1"/>
      </left>
      <right style="hair">
        <color auto="1"/>
      </right>
      <top style="thin">
        <color auto="1"/>
      </top>
      <bottom style="thin">
        <color auto="1"/>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auto="1"/>
      </left>
      <right/>
      <top style="hair">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style="medium">
        <color indexed="64"/>
      </right>
      <top style="hair">
        <color indexed="64"/>
      </top>
      <bottom style="hair">
        <color indexed="64"/>
      </bottom>
      <diagonal/>
    </border>
  </borders>
  <cellStyleXfs count="12">
    <xf numFmtId="0" fontId="0" fillId="0" borderId="0"/>
    <xf numFmtId="0" fontId="1" fillId="0" borderId="0"/>
    <xf numFmtId="168"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77" fontId="5" fillId="0" borderId="0" applyFont="0" applyFill="0" applyBorder="0" applyAlignment="0" applyProtection="0"/>
    <xf numFmtId="0" fontId="19" fillId="0" borderId="0"/>
    <xf numFmtId="177" fontId="19" fillId="0" borderId="0" applyFont="0" applyFill="0" applyBorder="0" applyAlignment="0" applyProtection="0"/>
    <xf numFmtId="0" fontId="1" fillId="0" borderId="0"/>
    <xf numFmtId="166" fontId="5" fillId="0" borderId="0" applyFont="0" applyFill="0" applyBorder="0" applyAlignment="0" applyProtection="0"/>
    <xf numFmtId="165" fontId="5" fillId="0" borderId="0" applyFont="0" applyFill="0" applyBorder="0" applyAlignment="0" applyProtection="0"/>
    <xf numFmtId="0" fontId="1" fillId="0" borderId="0"/>
  </cellStyleXfs>
  <cellXfs count="786">
    <xf numFmtId="0" fontId="0" fillId="0" borderId="0" xfId="0"/>
    <xf numFmtId="169" fontId="0" fillId="0" borderId="0" xfId="0" applyNumberFormat="1"/>
    <xf numFmtId="0" fontId="7" fillId="0" borderId="0" xfId="0" applyFont="1"/>
    <xf numFmtId="169" fontId="6" fillId="0" borderId="0" xfId="0" applyNumberFormat="1" applyFont="1"/>
    <xf numFmtId="3" fontId="0" fillId="0" borderId="0" xfId="0" applyNumberFormat="1"/>
    <xf numFmtId="3" fontId="12" fillId="0" borderId="0" xfId="0" applyNumberFormat="1" applyFont="1"/>
    <xf numFmtId="3" fontId="8" fillId="0" borderId="10" xfId="0" applyNumberFormat="1" applyFont="1" applyBorder="1"/>
    <xf numFmtId="0" fontId="10" fillId="0" borderId="11" xfId="0" applyFont="1" applyBorder="1"/>
    <xf numFmtId="3" fontId="0" fillId="0" borderId="11" xfId="0" applyNumberFormat="1" applyBorder="1"/>
    <xf numFmtId="14" fontId="7" fillId="0" borderId="11" xfId="0" applyNumberFormat="1" applyFont="1" applyBorder="1"/>
    <xf numFmtId="174" fontId="7" fillId="0" borderId="5" xfId="0" applyNumberFormat="1" applyFont="1" applyBorder="1"/>
    <xf numFmtId="0" fontId="10" fillId="0" borderId="10" xfId="0" applyFont="1" applyBorder="1"/>
    <xf numFmtId="3" fontId="7" fillId="0" borderId="3" xfId="0" applyNumberFormat="1" applyFont="1" applyBorder="1"/>
    <xf numFmtId="0" fontId="10" fillId="0" borderId="0" xfId="0" applyFont="1"/>
    <xf numFmtId="3" fontId="7" fillId="0" borderId="0" xfId="0" applyNumberFormat="1" applyFont="1"/>
    <xf numFmtId="175" fontId="7" fillId="0" borderId="6" xfId="4" applyNumberFormat="1" applyFont="1" applyBorder="1"/>
    <xf numFmtId="0" fontId="10" fillId="0" borderId="3" xfId="0" applyFont="1" applyBorder="1"/>
    <xf numFmtId="4" fontId="7" fillId="0" borderId="6" xfId="0" applyNumberFormat="1" applyFont="1" applyBorder="1"/>
    <xf numFmtId="174" fontId="7" fillId="0" borderId="6" xfId="0" applyNumberFormat="1" applyFont="1" applyBorder="1"/>
    <xf numFmtId="3" fontId="8" fillId="0" borderId="12" xfId="0" applyNumberFormat="1" applyFont="1" applyBorder="1"/>
    <xf numFmtId="0" fontId="13" fillId="0" borderId="13" xfId="0" applyFont="1" applyBorder="1"/>
    <xf numFmtId="3" fontId="6" fillId="0" borderId="13" xfId="0" applyNumberFormat="1" applyFont="1" applyBorder="1"/>
    <xf numFmtId="3" fontId="0" fillId="0" borderId="13" xfId="0" applyNumberFormat="1" applyBorder="1"/>
    <xf numFmtId="14" fontId="8" fillId="0" borderId="13" xfId="0" applyNumberFormat="1" applyFont="1" applyBorder="1"/>
    <xf numFmtId="174" fontId="8" fillId="0" borderId="22" xfId="0" applyNumberFormat="1" applyFont="1" applyBorder="1"/>
    <xf numFmtId="176" fontId="7" fillId="0" borderId="6" xfId="0" applyNumberFormat="1" applyFont="1" applyBorder="1"/>
    <xf numFmtId="0" fontId="14" fillId="0" borderId="12" xfId="0" applyFont="1" applyBorder="1"/>
    <xf numFmtId="174" fontId="6" fillId="0" borderId="22" xfId="0" applyNumberFormat="1" applyFont="1" applyBorder="1"/>
    <xf numFmtId="3" fontId="6" fillId="0" borderId="0" xfId="0" applyNumberFormat="1" applyFont="1"/>
    <xf numFmtId="174" fontId="7" fillId="0" borderId="0" xfId="0" applyNumberFormat="1" applyFont="1"/>
    <xf numFmtId="0" fontId="15" fillId="0" borderId="1" xfId="0" applyFont="1" applyBorder="1"/>
    <xf numFmtId="3" fontId="0" fillId="0" borderId="2" xfId="0" applyNumberFormat="1" applyBorder="1"/>
    <xf numFmtId="3" fontId="0" fillId="0" borderId="17" xfId="0" applyNumberFormat="1" applyBorder="1"/>
    <xf numFmtId="0" fontId="13" fillId="0" borderId="4" xfId="0" applyFont="1" applyBorder="1" applyAlignment="1">
      <alignment horizontal="center" vertical="center"/>
    </xf>
    <xf numFmtId="174" fontId="7" fillId="0" borderId="11" xfId="0" applyNumberFormat="1" applyFont="1" applyBorder="1"/>
    <xf numFmtId="174" fontId="7" fillId="0" borderId="7" xfId="0" applyNumberFormat="1" applyFont="1" applyBorder="1"/>
    <xf numFmtId="174" fontId="7" fillId="0" borderId="8" xfId="0" applyNumberFormat="1" applyFont="1" applyBorder="1"/>
    <xf numFmtId="177" fontId="16" fillId="3" borderId="23" xfId="5" applyFont="1" applyFill="1" applyBorder="1" applyAlignment="1">
      <alignment horizontal="right"/>
    </xf>
    <xf numFmtId="174" fontId="13" fillId="0" borderId="21" xfId="0" applyNumberFormat="1" applyFont="1" applyBorder="1"/>
    <xf numFmtId="0" fontId="10" fillId="0" borderId="12" xfId="0" applyFont="1" applyBorder="1"/>
    <xf numFmtId="174" fontId="7" fillId="0" borderId="13" xfId="0" applyNumberFormat="1" applyFont="1" applyBorder="1"/>
    <xf numFmtId="174" fontId="13" fillId="0" borderId="4" xfId="0" applyNumberFormat="1" applyFont="1" applyBorder="1"/>
    <xf numFmtId="174" fontId="13" fillId="0" borderId="0" xfId="0" applyNumberFormat="1" applyFont="1"/>
    <xf numFmtId="0" fontId="15" fillId="0" borderId="0" xfId="0" applyFont="1"/>
    <xf numFmtId="9" fontId="7" fillId="0" borderId="0" xfId="4" applyFont="1"/>
    <xf numFmtId="3" fontId="0" fillId="0" borderId="8" xfId="0" applyNumberFormat="1" applyBorder="1"/>
    <xf numFmtId="175" fontId="7" fillId="0" borderId="0" xfId="4" applyNumberFormat="1" applyFont="1" applyBorder="1"/>
    <xf numFmtId="0" fontId="13" fillId="0" borderId="12" xfId="0" applyFont="1" applyBorder="1"/>
    <xf numFmtId="174" fontId="8" fillId="0" borderId="9" xfId="0" applyNumberFormat="1" applyFont="1" applyBorder="1"/>
    <xf numFmtId="0" fontId="13" fillId="0" borderId="1" xfId="0" applyFont="1" applyBorder="1"/>
    <xf numFmtId="174" fontId="11" fillId="0" borderId="4" xfId="0" applyNumberFormat="1" applyFont="1" applyBorder="1"/>
    <xf numFmtId="0" fontId="8" fillId="0" borderId="0" xfId="0" applyFont="1"/>
    <xf numFmtId="0" fontId="13" fillId="0" borderId="0" xfId="0" applyFont="1"/>
    <xf numFmtId="3" fontId="13" fillId="0" borderId="0" xfId="0" applyNumberFormat="1" applyFont="1" applyAlignment="1">
      <alignment horizontal="center"/>
    </xf>
    <xf numFmtId="3" fontId="7" fillId="0" borderId="0" xfId="0" applyNumberFormat="1" applyFont="1" applyAlignment="1">
      <alignment wrapText="1"/>
    </xf>
    <xf numFmtId="174" fontId="13" fillId="0" borderId="0" xfId="0" applyNumberFormat="1" applyFont="1" applyAlignment="1">
      <alignment horizontal="center"/>
    </xf>
    <xf numFmtId="0" fontId="13" fillId="0" borderId="10" xfId="0" applyFont="1" applyBorder="1"/>
    <xf numFmtId="3" fontId="7" fillId="0" borderId="11" xfId="0" applyNumberFormat="1" applyFont="1" applyBorder="1"/>
    <xf numFmtId="171" fontId="7" fillId="0" borderId="11" xfId="5" applyNumberFormat="1" applyFont="1" applyFill="1" applyBorder="1"/>
    <xf numFmtId="3" fontId="7" fillId="0" borderId="11" xfId="0" applyNumberFormat="1" applyFont="1" applyBorder="1" applyAlignment="1">
      <alignment wrapText="1"/>
    </xf>
    <xf numFmtId="174" fontId="8" fillId="0" borderId="5" xfId="0" applyNumberFormat="1" applyFont="1" applyBorder="1"/>
    <xf numFmtId="171" fontId="7" fillId="0" borderId="0" xfId="5" applyNumberFormat="1" applyFont="1" applyFill="1" applyBorder="1"/>
    <xf numFmtId="0" fontId="7" fillId="0" borderId="6" xfId="0" applyFont="1" applyBorder="1"/>
    <xf numFmtId="178" fontId="7" fillId="0" borderId="0" xfId="0" applyNumberFormat="1" applyFont="1"/>
    <xf numFmtId="171" fontId="8" fillId="0" borderId="0" xfId="5" applyNumberFormat="1" applyFont="1" applyFill="1" applyBorder="1"/>
    <xf numFmtId="174" fontId="7" fillId="0" borderId="9" xfId="0" applyNumberFormat="1" applyFont="1" applyBorder="1"/>
    <xf numFmtId="0" fontId="13" fillId="0" borderId="3" xfId="0" applyFont="1" applyBorder="1"/>
    <xf numFmtId="174" fontId="8" fillId="0" borderId="6" xfId="0" applyNumberFormat="1" applyFont="1" applyBorder="1"/>
    <xf numFmtId="3" fontId="7" fillId="0" borderId="10" xfId="0" applyNumberFormat="1" applyFont="1" applyBorder="1"/>
    <xf numFmtId="0" fontId="13" fillId="0" borderId="18" xfId="0" applyFont="1" applyBorder="1"/>
    <xf numFmtId="3" fontId="13" fillId="0" borderId="19" xfId="0" applyNumberFormat="1" applyFont="1" applyBorder="1"/>
    <xf numFmtId="171" fontId="7" fillId="0" borderId="19" xfId="5" applyNumberFormat="1" applyFont="1" applyFill="1" applyBorder="1"/>
    <xf numFmtId="174" fontId="13" fillId="0" borderId="20" xfId="0" applyNumberFormat="1" applyFont="1" applyBorder="1"/>
    <xf numFmtId="3" fontId="0" fillId="0" borderId="12" xfId="0" applyNumberFormat="1" applyBorder="1"/>
    <xf numFmtId="174" fontId="13" fillId="0" borderId="17" xfId="0" applyNumberFormat="1" applyFont="1" applyBorder="1"/>
    <xf numFmtId="174" fontId="8" fillId="0" borderId="13" xfId="0" applyNumberFormat="1" applyFont="1" applyBorder="1"/>
    <xf numFmtId="174" fontId="8" fillId="0" borderId="1" xfId="0" applyNumberFormat="1" applyFont="1" applyBorder="1"/>
    <xf numFmtId="174" fontId="8" fillId="0" borderId="17" xfId="0" applyNumberFormat="1" applyFont="1" applyBorder="1"/>
    <xf numFmtId="3" fontId="7" fillId="0" borderId="1" xfId="0" applyNumberFormat="1" applyFont="1" applyBorder="1"/>
    <xf numFmtId="174" fontId="7" fillId="0" borderId="17" xfId="0" applyNumberFormat="1" applyFont="1" applyBorder="1"/>
    <xf numFmtId="174" fontId="8" fillId="3" borderId="4" xfId="0" applyNumberFormat="1" applyFont="1" applyFill="1" applyBorder="1"/>
    <xf numFmtId="174" fontId="7" fillId="0" borderId="10" xfId="0" applyNumberFormat="1" applyFont="1" applyBorder="1"/>
    <xf numFmtId="174" fontId="7" fillId="0" borderId="12" xfId="0" applyNumberFormat="1" applyFont="1" applyBorder="1"/>
    <xf numFmtId="174" fontId="8" fillId="3" borderId="9" xfId="0" applyNumberFormat="1" applyFont="1" applyFill="1" applyBorder="1"/>
    <xf numFmtId="0" fontId="11" fillId="4" borderId="34" xfId="0" applyFont="1" applyFill="1" applyBorder="1" applyAlignment="1">
      <alignment horizontal="center" vertical="center" wrapText="1"/>
    </xf>
    <xf numFmtId="0" fontId="11" fillId="4" borderId="44" xfId="0" applyFont="1" applyFill="1" applyBorder="1" applyAlignment="1">
      <alignment horizontal="center" vertical="center" wrapText="1"/>
    </xf>
    <xf numFmtId="179" fontId="4" fillId="5" borderId="45" xfId="3" applyNumberFormat="1" applyFont="1" applyFill="1" applyBorder="1"/>
    <xf numFmtId="179" fontId="4" fillId="5" borderId="46" xfId="3" applyNumberFormat="1" applyFont="1" applyFill="1" applyBorder="1"/>
    <xf numFmtId="179" fontId="4" fillId="5" borderId="47" xfId="3" applyNumberFormat="1" applyFont="1" applyFill="1" applyBorder="1"/>
    <xf numFmtId="179" fontId="11" fillId="5" borderId="4" xfId="3" applyNumberFormat="1" applyFont="1" applyFill="1" applyBorder="1"/>
    <xf numFmtId="3" fontId="6" fillId="6" borderId="4" xfId="0" applyNumberFormat="1" applyFont="1" applyFill="1" applyBorder="1" applyAlignment="1">
      <alignment horizontal="center"/>
    </xf>
    <xf numFmtId="3" fontId="6" fillId="0" borderId="1" xfId="0" applyNumberFormat="1" applyFont="1" applyBorder="1"/>
    <xf numFmtId="174" fontId="8" fillId="0" borderId="4" xfId="0" applyNumberFormat="1" applyFont="1" applyBorder="1"/>
    <xf numFmtId="174" fontId="7" fillId="3" borderId="11" xfId="0" applyNumberFormat="1" applyFont="1" applyFill="1" applyBorder="1"/>
    <xf numFmtId="174" fontId="7" fillId="3" borderId="0" xfId="0" applyNumberFormat="1" applyFont="1" applyFill="1"/>
    <xf numFmtId="0" fontId="13" fillId="0" borderId="0" xfId="0" applyFont="1" applyBorder="1"/>
    <xf numFmtId="3" fontId="6" fillId="0" borderId="0" xfId="0" applyNumberFormat="1" applyFont="1" applyBorder="1"/>
    <xf numFmtId="174" fontId="8" fillId="0" borderId="0" xfId="0" applyNumberFormat="1" applyFont="1" applyBorder="1"/>
    <xf numFmtId="3" fontId="0" fillId="0" borderId="0" xfId="0" applyNumberFormat="1" applyBorder="1"/>
    <xf numFmtId="174" fontId="11" fillId="0" borderId="0" xfId="0" applyNumberFormat="1" applyFont="1" applyBorder="1"/>
    <xf numFmtId="0" fontId="14" fillId="0" borderId="0" xfId="0" applyFont="1" applyBorder="1"/>
    <xf numFmtId="174" fontId="6" fillId="0" borderId="0" xfId="0" applyNumberFormat="1" applyFont="1" applyBorder="1"/>
    <xf numFmtId="3" fontId="0" fillId="0" borderId="6" xfId="0" applyNumberFormat="1" applyBorder="1"/>
    <xf numFmtId="3" fontId="8" fillId="0" borderId="0" xfId="0" applyNumberFormat="1" applyFont="1"/>
    <xf numFmtId="179" fontId="4" fillId="5" borderId="49" xfId="3" applyNumberFormat="1" applyFont="1" applyFill="1" applyBorder="1"/>
    <xf numFmtId="179" fontId="17" fillId="5" borderId="46" xfId="3" applyNumberFormat="1" applyFont="1" applyFill="1" applyBorder="1"/>
    <xf numFmtId="9" fontId="17" fillId="5" borderId="46" xfId="4" applyFont="1" applyFill="1" applyBorder="1"/>
    <xf numFmtId="9" fontId="7" fillId="5" borderId="4" xfId="4" applyFont="1" applyFill="1" applyBorder="1"/>
    <xf numFmtId="169" fontId="3" fillId="0" borderId="0" xfId="0" applyNumberFormat="1" applyFont="1" applyAlignment="1">
      <alignment vertical="center"/>
    </xf>
    <xf numFmtId="169" fontId="18" fillId="0" borderId="0" xfId="0" applyNumberFormat="1" applyFont="1"/>
    <xf numFmtId="165" fontId="20" fillId="0" borderId="0" xfId="0" applyNumberFormat="1" applyFont="1"/>
    <xf numFmtId="169" fontId="20" fillId="0" borderId="0" xfId="0" applyNumberFormat="1" applyFont="1"/>
    <xf numFmtId="169" fontId="2" fillId="0" borderId="0" xfId="0" applyNumberFormat="1" applyFont="1"/>
    <xf numFmtId="169" fontId="22" fillId="0" borderId="0" xfId="0" applyNumberFormat="1" applyFont="1"/>
    <xf numFmtId="0" fontId="18" fillId="0" borderId="0" xfId="0" applyFont="1"/>
    <xf numFmtId="0" fontId="24" fillId="0" borderId="0" xfId="0" applyFont="1"/>
    <xf numFmtId="169" fontId="9" fillId="0" borderId="0" xfId="0" applyNumberFormat="1" applyFont="1"/>
    <xf numFmtId="3" fontId="25" fillId="10" borderId="0" xfId="1" applyNumberFormat="1" applyFont="1" applyFill="1"/>
    <xf numFmtId="3" fontId="25" fillId="0" borderId="0" xfId="1" applyNumberFormat="1" applyFont="1"/>
    <xf numFmtId="3" fontId="27" fillId="0" borderId="0" xfId="1" applyNumberFormat="1" applyFont="1"/>
    <xf numFmtId="3" fontId="28" fillId="0" borderId="0" xfId="1" applyNumberFormat="1" applyFont="1"/>
    <xf numFmtId="3" fontId="29" fillId="0" borderId="0" xfId="1" applyNumberFormat="1" applyFont="1"/>
    <xf numFmtId="3" fontId="25" fillId="5" borderId="0" xfId="1" applyNumberFormat="1" applyFont="1" applyFill="1"/>
    <xf numFmtId="3" fontId="30" fillId="0" borderId="0" xfId="1" applyNumberFormat="1" applyFont="1"/>
    <xf numFmtId="0" fontId="20" fillId="0" borderId="0" xfId="0" applyFont="1"/>
    <xf numFmtId="0" fontId="20" fillId="0" borderId="0" xfId="0" applyFont="1" applyAlignment="1">
      <alignment wrapText="1"/>
    </xf>
    <xf numFmtId="0" fontId="9" fillId="0" borderId="0" xfId="0" applyFont="1"/>
    <xf numFmtId="3" fontId="20" fillId="0" borderId="0" xfId="0" applyNumberFormat="1" applyFont="1" applyAlignment="1">
      <alignment horizontal="right"/>
    </xf>
    <xf numFmtId="0" fontId="31" fillId="0" borderId="0" xfId="0" applyFont="1" applyAlignment="1">
      <alignment vertical="center" wrapText="1"/>
    </xf>
    <xf numFmtId="180" fontId="0" fillId="0" borderId="0" xfId="0" applyNumberFormat="1"/>
    <xf numFmtId="182" fontId="0" fillId="0" borderId="0" xfId="0" applyNumberFormat="1"/>
    <xf numFmtId="169" fontId="0" fillId="5" borderId="0" xfId="0" applyNumberFormat="1" applyFill="1" applyAlignment="1">
      <alignment horizontal="center"/>
    </xf>
    <xf numFmtId="0" fontId="23" fillId="0" borderId="0" xfId="0" applyFont="1"/>
    <xf numFmtId="0" fontId="20" fillId="0" borderId="0" xfId="11" applyFont="1"/>
    <xf numFmtId="165" fontId="20" fillId="0" borderId="0" xfId="10" applyFont="1"/>
    <xf numFmtId="3" fontId="20" fillId="0" borderId="0" xfId="11" applyNumberFormat="1" applyFont="1"/>
    <xf numFmtId="0" fontId="2" fillId="0" borderId="0" xfId="11" applyFont="1"/>
    <xf numFmtId="3" fontId="2" fillId="0" borderId="0" xfId="11" applyNumberFormat="1" applyFont="1"/>
    <xf numFmtId="169" fontId="6" fillId="0" borderId="0" xfId="0" applyNumberFormat="1" applyFont="1" applyAlignment="1">
      <alignment horizontal="center"/>
    </xf>
    <xf numFmtId="165" fontId="1" fillId="0" borderId="0" xfId="0" applyNumberFormat="1" applyFont="1"/>
    <xf numFmtId="169" fontId="1" fillId="0" borderId="0" xfId="0" applyNumberFormat="1" applyFont="1"/>
    <xf numFmtId="169" fontId="21" fillId="0" borderId="0" xfId="0" applyNumberFormat="1" applyFont="1"/>
    <xf numFmtId="0" fontId="1" fillId="0" borderId="0" xfId="0" applyFont="1" applyAlignment="1">
      <alignment vertical="center" wrapText="1"/>
    </xf>
    <xf numFmtId="3" fontId="1" fillId="0" borderId="0" xfId="0" applyNumberFormat="1" applyFont="1" applyAlignment="1">
      <alignment horizontal="left" vertical="top" wrapText="1"/>
    </xf>
    <xf numFmtId="3" fontId="21" fillId="0" borderId="0" xfId="0" applyNumberFormat="1" applyFont="1" applyAlignment="1">
      <alignment horizontal="left" vertical="center" wrapText="1"/>
    </xf>
    <xf numFmtId="3" fontId="21" fillId="0" borderId="0" xfId="0" applyNumberFormat="1" applyFont="1" applyAlignment="1">
      <alignment horizontal="center" vertical="center" wrapText="1"/>
    </xf>
    <xf numFmtId="3" fontId="1" fillId="0" borderId="0" xfId="0" applyNumberFormat="1" applyFont="1"/>
    <xf numFmtId="9" fontId="1" fillId="0" borderId="0" xfId="4" applyFont="1" applyAlignment="1">
      <alignment horizontal="center"/>
    </xf>
    <xf numFmtId="3" fontId="21" fillId="0" borderId="19" xfId="0" applyNumberFormat="1" applyFont="1" applyBorder="1"/>
    <xf numFmtId="169" fontId="1" fillId="0" borderId="0" xfId="0" applyNumberFormat="1" applyFont="1" applyAlignment="1">
      <alignment horizontal="center" vertical="center" wrapText="1"/>
    </xf>
    <xf numFmtId="0" fontId="21" fillId="0" borderId="0" xfId="0" applyFont="1"/>
    <xf numFmtId="0" fontId="21" fillId="0" borderId="1" xfId="0" applyFont="1" applyBorder="1" applyAlignment="1">
      <alignment vertical="center"/>
    </xf>
    <xf numFmtId="0" fontId="1" fillId="0" borderId="2" xfId="0" applyFont="1" applyBorder="1"/>
    <xf numFmtId="165" fontId="21" fillId="0" borderId="4" xfId="0" applyNumberFormat="1" applyFont="1" applyBorder="1" applyAlignment="1">
      <alignment horizontal="center" vertical="center" wrapText="1"/>
    </xf>
    <xf numFmtId="0" fontId="1" fillId="0" borderId="10" xfId="0" applyFont="1" applyBorder="1"/>
    <xf numFmtId="0" fontId="1" fillId="0" borderId="11" xfId="0" applyFont="1" applyBorder="1"/>
    <xf numFmtId="165" fontId="1" fillId="0" borderId="7" xfId="0" applyNumberFormat="1" applyFont="1" applyBorder="1" applyAlignment="1">
      <alignment horizontal="center" vertical="center" wrapText="1"/>
    </xf>
    <xf numFmtId="180" fontId="1" fillId="0" borderId="7" xfId="0" applyNumberFormat="1" applyFont="1" applyBorder="1" applyAlignment="1">
      <alignment horizontal="right" wrapText="1"/>
    </xf>
    <xf numFmtId="180" fontId="1" fillId="0" borderId="8" xfId="2" applyNumberFormat="1" applyFont="1" applyFill="1" applyBorder="1" applyAlignment="1"/>
    <xf numFmtId="180" fontId="1" fillId="0" borderId="8" xfId="0" applyNumberFormat="1" applyFont="1" applyBorder="1" applyAlignment="1">
      <alignment horizontal="right" wrapText="1"/>
    </xf>
    <xf numFmtId="9" fontId="1" fillId="0" borderId="0" xfId="4" applyFont="1"/>
    <xf numFmtId="180" fontId="1" fillId="0" borderId="9" xfId="0" applyNumberFormat="1" applyFont="1" applyBorder="1" applyAlignment="1">
      <alignment horizontal="right" wrapText="1"/>
    </xf>
    <xf numFmtId="0" fontId="21" fillId="0" borderId="18" xfId="0" applyFont="1" applyBorder="1"/>
    <xf numFmtId="0" fontId="1" fillId="0" borderId="19" xfId="0" applyFont="1" applyBorder="1"/>
    <xf numFmtId="171" fontId="1" fillId="0" borderId="19" xfId="2" applyNumberFormat="1" applyFont="1" applyFill="1" applyBorder="1"/>
    <xf numFmtId="180" fontId="21" fillId="0" borderId="21" xfId="0" applyNumberFormat="1" applyFont="1" applyBorder="1" applyAlignment="1">
      <alignment wrapText="1"/>
    </xf>
    <xf numFmtId="180" fontId="21" fillId="0" borderId="21" xfId="0" applyNumberFormat="1" applyFont="1" applyBorder="1" applyAlignment="1">
      <alignment horizontal="right" wrapText="1"/>
    </xf>
    <xf numFmtId="0" fontId="21" fillId="0" borderId="1" xfId="0" applyFont="1" applyBorder="1"/>
    <xf numFmtId="171" fontId="1" fillId="0" borderId="2" xfId="2" applyNumberFormat="1" applyFont="1" applyFill="1" applyBorder="1" applyAlignment="1">
      <alignment horizontal="right"/>
    </xf>
    <xf numFmtId="171" fontId="1" fillId="0" borderId="2" xfId="2" applyNumberFormat="1" applyFont="1" applyFill="1" applyBorder="1"/>
    <xf numFmtId="165" fontId="1" fillId="0" borderId="2" xfId="0" applyNumberFormat="1" applyFont="1" applyBorder="1" applyAlignment="1">
      <alignment horizontal="center" vertical="center" wrapText="1"/>
    </xf>
    <xf numFmtId="165" fontId="1" fillId="0" borderId="17" xfId="0" applyNumberFormat="1" applyFont="1" applyBorder="1" applyAlignment="1">
      <alignment horizontal="center" vertical="center" wrapText="1"/>
    </xf>
    <xf numFmtId="0" fontId="1" fillId="0" borderId="3" xfId="0" applyFont="1" applyBorder="1"/>
    <xf numFmtId="0" fontId="1" fillId="0" borderId="0" xfId="0" applyFont="1"/>
    <xf numFmtId="171" fontId="1" fillId="0" borderId="0" xfId="2" applyNumberFormat="1" applyFont="1" applyFill="1" applyBorder="1" applyAlignment="1">
      <alignment horizontal="right"/>
    </xf>
    <xf numFmtId="171" fontId="1" fillId="0" borderId="0" xfId="2" applyNumberFormat="1" applyFont="1" applyFill="1" applyBorder="1"/>
    <xf numFmtId="165" fontId="1" fillId="0" borderId="0" xfId="2" applyNumberFormat="1" applyFont="1" applyFill="1" applyBorder="1"/>
    <xf numFmtId="165" fontId="1" fillId="0" borderId="6" xfId="0" applyNumberFormat="1" applyFont="1" applyBorder="1" applyAlignment="1">
      <alignment wrapText="1"/>
    </xf>
    <xf numFmtId="165" fontId="1" fillId="0" borderId="19" xfId="0" applyNumberFormat="1" applyFont="1" applyBorder="1" applyAlignment="1">
      <alignment wrapText="1"/>
    </xf>
    <xf numFmtId="165" fontId="1" fillId="0" borderId="20" xfId="0" applyNumberFormat="1" applyFont="1" applyBorder="1" applyAlignment="1">
      <alignment wrapText="1"/>
    </xf>
    <xf numFmtId="0" fontId="1" fillId="0" borderId="0" xfId="0" applyFont="1" applyBorder="1"/>
    <xf numFmtId="165" fontId="1" fillId="0" borderId="0" xfId="0" applyNumberFormat="1" applyFont="1" applyBorder="1" applyAlignment="1">
      <alignment wrapText="1"/>
    </xf>
    <xf numFmtId="169" fontId="1" fillId="0" borderId="2" xfId="0" applyNumberFormat="1" applyFont="1" applyBorder="1"/>
    <xf numFmtId="171" fontId="1" fillId="0" borderId="2" xfId="2" applyNumberFormat="1" applyFont="1" applyFill="1" applyBorder="1" applyAlignment="1">
      <alignment horizontal="center"/>
    </xf>
    <xf numFmtId="169" fontId="1" fillId="0" borderId="0" xfId="0" applyNumberFormat="1" applyFont="1" applyAlignment="1">
      <alignment horizontal="center"/>
    </xf>
    <xf numFmtId="172" fontId="1" fillId="0" borderId="0" xfId="2" applyNumberFormat="1" applyFont="1" applyFill="1" applyBorder="1" applyAlignment="1">
      <alignment horizontal="center"/>
    </xf>
    <xf numFmtId="180" fontId="1" fillId="0" borderId="3" xfId="2" applyNumberFormat="1" applyFont="1" applyFill="1" applyBorder="1" applyAlignment="1"/>
    <xf numFmtId="180" fontId="1" fillId="0" borderId="6" xfId="2" applyNumberFormat="1" applyFont="1" applyFill="1" applyBorder="1" applyAlignment="1"/>
    <xf numFmtId="180" fontId="1" fillId="0" borderId="12" xfId="2" applyNumberFormat="1" applyFont="1" applyFill="1" applyBorder="1" applyAlignment="1"/>
    <xf numFmtId="180" fontId="1" fillId="0" borderId="22" xfId="2" applyNumberFormat="1" applyFont="1" applyFill="1" applyBorder="1" applyAlignment="1"/>
    <xf numFmtId="183" fontId="1" fillId="0" borderId="0" xfId="0" applyNumberFormat="1" applyFont="1"/>
    <xf numFmtId="165" fontId="1" fillId="0" borderId="0" xfId="0" applyNumberFormat="1" applyFont="1" applyAlignment="1">
      <alignment wrapText="1"/>
    </xf>
    <xf numFmtId="0" fontId="1" fillId="0" borderId="10" xfId="0" applyFont="1" applyBorder="1" applyAlignment="1"/>
    <xf numFmtId="0" fontId="1" fillId="0" borderId="11" xfId="0" applyFont="1" applyBorder="1" applyAlignment="1"/>
    <xf numFmtId="0" fontId="1" fillId="0" borderId="3" xfId="0" applyFont="1" applyBorder="1" applyAlignment="1"/>
    <xf numFmtId="0" fontId="1" fillId="0" borderId="0" xfId="0" applyFont="1" applyAlignment="1"/>
    <xf numFmtId="0" fontId="1" fillId="0" borderId="0" xfId="0" applyFont="1" applyBorder="1" applyAlignment="1"/>
    <xf numFmtId="165" fontId="1" fillId="0" borderId="0" xfId="10" applyFont="1" applyFill="1" applyBorder="1" applyAlignment="1"/>
    <xf numFmtId="0" fontId="1" fillId="0" borderId="3" xfId="0" applyFont="1" applyBorder="1" applyAlignment="1">
      <alignment horizontal="left"/>
    </xf>
    <xf numFmtId="0" fontId="1" fillId="0" borderId="0" xfId="0" applyFont="1" applyAlignment="1">
      <alignment horizontal="left"/>
    </xf>
    <xf numFmtId="0" fontId="1" fillId="0" borderId="0" xfId="0" applyFont="1" applyBorder="1" applyAlignment="1">
      <alignment horizontal="right"/>
    </xf>
    <xf numFmtId="180" fontId="1" fillId="0" borderId="0" xfId="2" applyNumberFormat="1" applyFont="1" applyFill="1" applyBorder="1" applyAlignment="1">
      <alignment horizontal="left"/>
    </xf>
    <xf numFmtId="180" fontId="1" fillId="0" borderId="6" xfId="2" applyNumberFormat="1" applyFont="1" applyFill="1" applyBorder="1" applyAlignment="1">
      <alignment horizontal="left"/>
    </xf>
    <xf numFmtId="0" fontId="1" fillId="0" borderId="12" xfId="0" applyFont="1" applyBorder="1" applyAlignment="1"/>
    <xf numFmtId="0" fontId="1" fillId="0" borderId="13" xfId="0" applyFont="1" applyBorder="1" applyAlignment="1"/>
    <xf numFmtId="180" fontId="1" fillId="0" borderId="0" xfId="0" applyNumberFormat="1" applyFont="1" applyBorder="1" applyAlignment="1">
      <alignment wrapText="1"/>
    </xf>
    <xf numFmtId="165" fontId="1" fillId="0" borderId="0" xfId="0" applyNumberFormat="1" applyFont="1" applyBorder="1"/>
    <xf numFmtId="165" fontId="1" fillId="0" borderId="0" xfId="10" applyFont="1"/>
    <xf numFmtId="3" fontId="21" fillId="0" borderId="0" xfId="0" applyNumberFormat="1" applyFont="1"/>
    <xf numFmtId="175" fontId="1" fillId="5" borderId="0" xfId="4" applyNumberFormat="1" applyFont="1" applyFill="1"/>
    <xf numFmtId="169" fontId="1" fillId="0" borderId="0" xfId="0" quotePrefix="1" applyNumberFormat="1" applyFont="1"/>
    <xf numFmtId="169" fontId="1" fillId="0" borderId="0" xfId="0" applyNumberFormat="1" applyFont="1" applyFill="1"/>
    <xf numFmtId="165" fontId="1" fillId="0" borderId="0" xfId="0" applyNumberFormat="1" applyFont="1" applyFill="1"/>
    <xf numFmtId="169" fontId="21" fillId="0" borderId="0" xfId="0" applyNumberFormat="1" applyFont="1" applyFill="1"/>
    <xf numFmtId="164" fontId="1" fillId="5" borderId="0" xfId="4" applyNumberFormat="1" applyFont="1" applyFill="1"/>
    <xf numFmtId="4" fontId="1" fillId="0" borderId="0" xfId="0" applyNumberFormat="1" applyFont="1"/>
    <xf numFmtId="175" fontId="1" fillId="0" borderId="0" xfId="4" applyNumberFormat="1" applyFont="1"/>
    <xf numFmtId="169" fontId="1" fillId="0" borderId="0" xfId="0" applyNumberFormat="1" applyFont="1" applyAlignment="1">
      <alignment horizontal="left"/>
    </xf>
    <xf numFmtId="182" fontId="1" fillId="0" borderId="0" xfId="0" applyNumberFormat="1" applyFont="1"/>
    <xf numFmtId="169" fontId="1" fillId="0" borderId="0" xfId="0" applyNumberFormat="1" applyFont="1" applyAlignment="1">
      <alignment vertical="top" wrapText="1"/>
    </xf>
    <xf numFmtId="14" fontId="1" fillId="0" borderId="5" xfId="0" applyNumberFormat="1" applyFont="1" applyBorder="1"/>
    <xf numFmtId="173" fontId="1" fillId="0" borderId="8" xfId="2" applyNumberFormat="1" applyFont="1" applyFill="1" applyBorder="1" applyAlignment="1"/>
    <xf numFmtId="0" fontId="1" fillId="0" borderId="12" xfId="0" applyFont="1" applyBorder="1"/>
    <xf numFmtId="14" fontId="1" fillId="0" borderId="22" xfId="0" applyNumberFormat="1" applyFont="1" applyBorder="1"/>
    <xf numFmtId="0" fontId="1" fillId="0" borderId="52" xfId="0" applyFont="1" applyBorder="1"/>
    <xf numFmtId="169" fontId="1" fillId="0" borderId="20" xfId="0" applyNumberFormat="1" applyFont="1" applyBorder="1"/>
    <xf numFmtId="180" fontId="1" fillId="0" borderId="21" xfId="0" applyNumberFormat="1" applyFont="1" applyBorder="1" applyAlignment="1">
      <alignment wrapText="1"/>
    </xf>
    <xf numFmtId="165" fontId="1" fillId="0" borderId="7" xfId="0" applyNumberFormat="1" applyFont="1" applyBorder="1"/>
    <xf numFmtId="169" fontId="1" fillId="0" borderId="0" xfId="0" applyNumberFormat="1" applyFont="1" applyBorder="1"/>
    <xf numFmtId="17" fontId="1" fillId="0" borderId="10" xfId="0" applyNumberFormat="1" applyFont="1" applyBorder="1"/>
    <xf numFmtId="169" fontId="1" fillId="0" borderId="53" xfId="0" applyNumberFormat="1" applyFont="1" applyBorder="1"/>
    <xf numFmtId="169" fontId="1" fillId="0" borderId="0" xfId="0" applyNumberFormat="1" applyFont="1" applyAlignment="1">
      <alignment vertical="top"/>
    </xf>
    <xf numFmtId="3" fontId="21" fillId="2" borderId="1" xfId="0" applyNumberFormat="1" applyFont="1" applyFill="1" applyBorder="1" applyAlignment="1">
      <alignment horizontal="center" vertical="center" wrapText="1"/>
    </xf>
    <xf numFmtId="170" fontId="21" fillId="2" borderId="4" xfId="0" applyNumberFormat="1" applyFont="1" applyFill="1" applyBorder="1" applyAlignment="1">
      <alignment horizontal="center" vertical="center" wrapText="1"/>
    </xf>
    <xf numFmtId="3" fontId="21" fillId="2" borderId="17"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3" fontId="1" fillId="0" borderId="4" xfId="0" applyNumberFormat="1" applyFont="1" applyBorder="1"/>
    <xf numFmtId="0" fontId="1" fillId="0" borderId="0" xfId="11" applyFont="1"/>
    <xf numFmtId="0" fontId="21" fillId="0" borderId="0" xfId="11" applyFont="1"/>
    <xf numFmtId="165" fontId="1" fillId="0" borderId="0" xfId="10" applyFont="1" applyAlignment="1">
      <alignment horizontal="right"/>
    </xf>
    <xf numFmtId="3" fontId="1" fillId="0" borderId="0" xfId="11" applyNumberFormat="1" applyFont="1"/>
    <xf numFmtId="185" fontId="1" fillId="0" borderId="0" xfId="10" applyNumberFormat="1" applyFont="1"/>
    <xf numFmtId="165" fontId="1" fillId="0" borderId="0" xfId="10" applyFont="1" applyBorder="1"/>
    <xf numFmtId="165" fontId="21" fillId="0" borderId="0" xfId="10" applyFont="1"/>
    <xf numFmtId="0" fontId="1" fillId="0" borderId="0" xfId="11" applyFont="1"/>
    <xf numFmtId="165" fontId="1" fillId="0" borderId="13" xfId="10" applyFont="1" applyBorder="1"/>
    <xf numFmtId="3" fontId="1" fillId="0" borderId="0" xfId="11" applyNumberFormat="1" applyFont="1" applyAlignment="1">
      <alignment horizontal="center"/>
    </xf>
    <xf numFmtId="9" fontId="1" fillId="0" borderId="0" xfId="11" applyNumberFormat="1" applyFont="1" applyAlignment="1">
      <alignment horizontal="center"/>
    </xf>
    <xf numFmtId="0" fontId="1" fillId="5" borderId="10" xfId="0" applyFont="1" applyFill="1" applyBorder="1"/>
    <xf numFmtId="169" fontId="1" fillId="0" borderId="3" xfId="0" applyNumberFormat="1" applyFont="1" applyBorder="1" applyAlignment="1">
      <alignment horizontal="right" wrapText="1"/>
    </xf>
    <xf numFmtId="0" fontId="1" fillId="0" borderId="4" xfId="0" applyFont="1" applyBorder="1" applyAlignment="1">
      <alignment horizontal="center" vertical="center"/>
    </xf>
    <xf numFmtId="169" fontId="21" fillId="0" borderId="8" xfId="0" applyNumberFormat="1" applyFont="1" applyFill="1" applyBorder="1" applyAlignment="1">
      <alignment vertical="center"/>
    </xf>
    <xf numFmtId="0" fontId="1" fillId="0" borderId="17" xfId="0" applyFont="1" applyBorder="1" applyAlignment="1">
      <alignment horizontal="center" vertical="center"/>
    </xf>
    <xf numFmtId="0" fontId="1" fillId="5" borderId="3" xfId="0" applyFont="1" applyFill="1" applyBorder="1"/>
    <xf numFmtId="0" fontId="1" fillId="5" borderId="13" xfId="0" applyFont="1" applyFill="1" applyBorder="1" applyAlignment="1">
      <alignment horizontal="left" vertical="center" wrapText="1"/>
    </xf>
    <xf numFmtId="169" fontId="1" fillId="0" borderId="8" xfId="0" applyNumberFormat="1" applyFont="1" applyBorder="1" applyAlignment="1">
      <alignment horizontal="right" wrapText="1"/>
    </xf>
    <xf numFmtId="169" fontId="21" fillId="0" borderId="9" xfId="0" applyNumberFormat="1" applyFont="1" applyFill="1" applyBorder="1"/>
    <xf numFmtId="0" fontId="21" fillId="4" borderId="18" xfId="0" applyFont="1" applyFill="1" applyBorder="1"/>
    <xf numFmtId="0" fontId="1" fillId="5" borderId="11" xfId="0" applyFont="1" applyFill="1" applyBorder="1"/>
    <xf numFmtId="171" fontId="1" fillId="5" borderId="11" xfId="2" applyNumberFormat="1" applyFont="1" applyFill="1" applyBorder="1" applyAlignment="1">
      <alignment horizontal="right"/>
    </xf>
    <xf numFmtId="171" fontId="1" fillId="5" borderId="11" xfId="2" applyNumberFormat="1" applyFont="1" applyFill="1" applyBorder="1"/>
    <xf numFmtId="0" fontId="1" fillId="5" borderId="0" xfId="0" applyFont="1" applyFill="1" applyBorder="1"/>
    <xf numFmtId="171" fontId="1" fillId="5" borderId="0" xfId="2" applyNumberFormat="1" applyFont="1" applyFill="1" applyBorder="1" applyAlignment="1">
      <alignment horizontal="right"/>
    </xf>
    <xf numFmtId="171" fontId="1" fillId="5" borderId="0" xfId="2" applyNumberFormat="1" applyFont="1" applyFill="1" applyBorder="1"/>
    <xf numFmtId="0" fontId="1" fillId="5" borderId="0" xfId="0" applyFont="1" applyFill="1"/>
    <xf numFmtId="169" fontId="21" fillId="0" borderId="8" xfId="0" applyNumberFormat="1" applyFont="1" applyFill="1" applyBorder="1"/>
    <xf numFmtId="169" fontId="1" fillId="0" borderId="8" xfId="0" applyNumberFormat="1" applyFont="1" applyFill="1" applyBorder="1" applyAlignment="1">
      <alignment horizontal="right" wrapText="1"/>
    </xf>
    <xf numFmtId="169" fontId="1" fillId="5" borderId="0" xfId="0" applyNumberFormat="1" applyFont="1" applyFill="1" applyAlignment="1">
      <alignment horizontal="center"/>
    </xf>
    <xf numFmtId="169" fontId="21" fillId="0" borderId="0" xfId="0" applyNumberFormat="1" applyFont="1" applyAlignment="1">
      <alignment vertical="center"/>
    </xf>
    <xf numFmtId="169" fontId="21" fillId="5" borderId="0" xfId="0" applyNumberFormat="1" applyFont="1" applyFill="1" applyBorder="1" applyAlignment="1">
      <alignment horizontal="center" vertical="center" wrapText="1"/>
    </xf>
    <xf numFmtId="0" fontId="21" fillId="0" borderId="2" xfId="0" applyFont="1" applyBorder="1"/>
    <xf numFmtId="165" fontId="21" fillId="5" borderId="0" xfId="0" applyNumberFormat="1" applyFont="1" applyFill="1" applyBorder="1" applyAlignment="1">
      <alignment horizontal="center" vertical="center" wrapText="1"/>
    </xf>
    <xf numFmtId="0" fontId="21" fillId="4" borderId="1" xfId="0" applyFont="1" applyFill="1" applyBorder="1"/>
    <xf numFmtId="0" fontId="21" fillId="4" borderId="2" xfId="0" applyFont="1" applyFill="1" applyBorder="1"/>
    <xf numFmtId="0" fontId="1" fillId="4" borderId="2" xfId="0" applyFont="1" applyFill="1" applyBorder="1"/>
    <xf numFmtId="169" fontId="21" fillId="7" borderId="4" xfId="0" applyNumberFormat="1" applyFont="1" applyFill="1" applyBorder="1" applyAlignment="1">
      <alignment horizontal="right" wrapText="1"/>
    </xf>
    <xf numFmtId="171" fontId="1" fillId="0" borderId="13" xfId="2" applyNumberFormat="1" applyFont="1" applyFill="1" applyBorder="1" applyAlignment="1">
      <alignment horizontal="right"/>
    </xf>
    <xf numFmtId="171" fontId="1" fillId="0" borderId="13" xfId="2" applyNumberFormat="1" applyFont="1" applyFill="1" applyBorder="1"/>
    <xf numFmtId="171" fontId="1" fillId="0" borderId="11" xfId="2" applyNumberFormat="1" applyFont="1" applyFill="1" applyBorder="1" applyAlignment="1">
      <alignment horizontal="right"/>
    </xf>
    <xf numFmtId="171" fontId="1" fillId="0" borderId="11" xfId="2" applyNumberFormat="1" applyFont="1" applyFill="1" applyBorder="1"/>
    <xf numFmtId="0" fontId="1" fillId="0" borderId="13" xfId="0" applyFont="1" applyBorder="1"/>
    <xf numFmtId="169" fontId="21" fillId="7" borderId="9" xfId="0" applyNumberFormat="1" applyFont="1" applyFill="1" applyBorder="1" applyAlignment="1">
      <alignment horizontal="right" wrapText="1"/>
    </xf>
    <xf numFmtId="169" fontId="1" fillId="4" borderId="19" xfId="0" applyNumberFormat="1" applyFont="1" applyFill="1" applyBorder="1"/>
    <xf numFmtId="169" fontId="1" fillId="4" borderId="20" xfId="0" applyNumberFormat="1" applyFont="1" applyFill="1" applyBorder="1"/>
    <xf numFmtId="165" fontId="21" fillId="4" borderId="21" xfId="0" applyNumberFormat="1" applyFont="1" applyFill="1" applyBorder="1" applyAlignment="1">
      <alignment horizontal="center" wrapText="1"/>
    </xf>
    <xf numFmtId="165" fontId="21" fillId="4" borderId="21" xfId="0" applyNumberFormat="1" applyFont="1" applyFill="1" applyBorder="1" applyAlignment="1">
      <alignment horizontal="right" wrapText="1"/>
    </xf>
    <xf numFmtId="181" fontId="21" fillId="5" borderId="21" xfId="0" applyNumberFormat="1" applyFont="1" applyFill="1" applyBorder="1" applyAlignment="1">
      <alignment horizontal="right" wrapText="1"/>
    </xf>
    <xf numFmtId="169" fontId="1" fillId="0" borderId="17" xfId="0" applyNumberFormat="1" applyFont="1" applyBorder="1"/>
    <xf numFmtId="169" fontId="1" fillId="5" borderId="21" xfId="0" applyNumberFormat="1" applyFont="1" applyFill="1" applyBorder="1" applyAlignment="1">
      <alignment horizontal="center"/>
    </xf>
    <xf numFmtId="165" fontId="21" fillId="5" borderId="21" xfId="0" applyNumberFormat="1" applyFont="1" applyFill="1" applyBorder="1" applyAlignment="1">
      <alignment horizontal="right" wrapText="1"/>
    </xf>
    <xf numFmtId="169" fontId="1" fillId="5" borderId="17" xfId="0" applyNumberFormat="1" applyFont="1" applyFill="1" applyBorder="1" applyAlignment="1">
      <alignment horizontal="center"/>
    </xf>
    <xf numFmtId="181" fontId="21" fillId="5" borderId="4" xfId="0" applyNumberFormat="1" applyFont="1" applyFill="1" applyBorder="1" applyAlignment="1">
      <alignment horizontal="right" wrapText="1"/>
    </xf>
    <xf numFmtId="165" fontId="21" fillId="0" borderId="4" xfId="0" applyNumberFormat="1" applyFont="1" applyBorder="1" applyAlignment="1">
      <alignment horizontal="right" wrapText="1"/>
    </xf>
    <xf numFmtId="0" fontId="21" fillId="5" borderId="1" xfId="0" applyFont="1" applyFill="1" applyBorder="1"/>
    <xf numFmtId="169" fontId="1" fillId="5" borderId="2" xfId="0" applyNumberFormat="1" applyFont="1" applyFill="1" applyBorder="1"/>
    <xf numFmtId="9" fontId="21" fillId="5" borderId="17" xfId="4" applyNumberFormat="1" applyFont="1" applyFill="1" applyBorder="1" applyAlignment="1">
      <alignment horizontal="center"/>
    </xf>
    <xf numFmtId="175" fontId="21" fillId="5" borderId="17" xfId="4" applyNumberFormat="1" applyFont="1" applyFill="1" applyBorder="1" applyAlignment="1">
      <alignment horizontal="center"/>
    </xf>
    <xf numFmtId="0" fontId="1" fillId="0" borderId="3" xfId="0" applyFont="1" applyBorder="1" applyAlignment="1">
      <alignment horizontal="left" vertical="center"/>
    </xf>
    <xf numFmtId="0" fontId="1" fillId="0" borderId="0" xfId="0" applyFont="1" applyBorder="1" applyAlignment="1">
      <alignment horizontal="left" vertical="center"/>
    </xf>
    <xf numFmtId="3" fontId="1" fillId="0" borderId="0" xfId="0" applyNumberFormat="1" applyFont="1" applyBorder="1"/>
    <xf numFmtId="169" fontId="21" fillId="5" borderId="0" xfId="0" applyNumberFormat="1" applyFont="1" applyFill="1" applyBorder="1" applyAlignment="1">
      <alignment horizontal="center"/>
    </xf>
    <xf numFmtId="169" fontId="1" fillId="5" borderId="0" xfId="0" applyNumberFormat="1" applyFont="1" applyFill="1" applyBorder="1" applyAlignment="1">
      <alignment horizontal="center" wrapText="1"/>
    </xf>
    <xf numFmtId="0" fontId="21" fillId="0" borderId="3" xfId="0" applyFont="1" applyBorder="1" applyAlignment="1">
      <alignment horizontal="left"/>
    </xf>
    <xf numFmtId="169" fontId="21" fillId="0" borderId="4" xfId="0" applyNumberFormat="1" applyFont="1" applyBorder="1" applyAlignment="1">
      <alignment horizontal="right" wrapText="1"/>
    </xf>
    <xf numFmtId="169" fontId="21" fillId="5" borderId="0" xfId="0" applyNumberFormat="1" applyFont="1" applyFill="1" applyBorder="1" applyAlignment="1">
      <alignment horizontal="center" wrapText="1"/>
    </xf>
    <xf numFmtId="169" fontId="21" fillId="5" borderId="3" xfId="0" applyNumberFormat="1" applyFont="1" applyFill="1" applyBorder="1" applyAlignment="1">
      <alignment horizontal="center" vertical="center" wrapText="1"/>
    </xf>
    <xf numFmtId="9" fontId="1" fillId="5" borderId="0" xfId="4" applyFont="1" applyFill="1" applyBorder="1"/>
    <xf numFmtId="49" fontId="21" fillId="0" borderId="14" xfId="7" applyNumberFormat="1" applyFont="1" applyFill="1" applyBorder="1" applyAlignment="1">
      <alignment horizontal="center" vertical="center" wrapText="1"/>
    </xf>
    <xf numFmtId="49" fontId="21" fillId="0" borderId="72" xfId="7" applyNumberFormat="1" applyFont="1" applyFill="1" applyBorder="1" applyAlignment="1">
      <alignment horizontal="center" vertical="center" wrapText="1"/>
    </xf>
    <xf numFmtId="0" fontId="21" fillId="0" borderId="72" xfId="8" applyFont="1" applyBorder="1" applyAlignment="1">
      <alignment horizontal="center" vertical="center" wrapText="1"/>
    </xf>
    <xf numFmtId="49" fontId="21" fillId="0" borderId="73" xfId="7" applyNumberFormat="1" applyFont="1" applyFill="1" applyBorder="1" applyAlignment="1">
      <alignment horizontal="center" vertical="center" wrapText="1"/>
    </xf>
    <xf numFmtId="0" fontId="1" fillId="0" borderId="81" xfId="0" applyFont="1" applyFill="1" applyBorder="1" applyAlignment="1">
      <alignment vertical="center"/>
    </xf>
    <xf numFmtId="0" fontId="21" fillId="0" borderId="13" xfId="0" applyFont="1" applyFill="1" applyBorder="1" applyAlignment="1">
      <alignment horizontal="center" vertical="center"/>
    </xf>
    <xf numFmtId="3" fontId="1" fillId="0" borderId="12" xfId="0" applyNumberFormat="1" applyFont="1" applyFill="1" applyBorder="1" applyAlignment="1">
      <alignment horizontal="center"/>
    </xf>
    <xf numFmtId="0" fontId="1" fillId="0" borderId="62" xfId="0" applyFont="1" applyFill="1" applyBorder="1" applyAlignment="1">
      <alignment horizontal="center" vertical="center"/>
    </xf>
    <xf numFmtId="0" fontId="1" fillId="0" borderId="57" xfId="0" applyFont="1" applyFill="1" applyBorder="1" applyAlignment="1">
      <alignment vertical="center"/>
    </xf>
    <xf numFmtId="0" fontId="21" fillId="0" borderId="2" xfId="0" applyFont="1" applyFill="1" applyBorder="1" applyAlignment="1">
      <alignment horizontal="center" vertical="center"/>
    </xf>
    <xf numFmtId="3" fontId="1" fillId="0" borderId="1" xfId="0" applyNumberFormat="1" applyFont="1" applyFill="1" applyBorder="1" applyAlignment="1">
      <alignment horizontal="center"/>
    </xf>
    <xf numFmtId="0" fontId="1" fillId="0" borderId="35" xfId="0" applyFont="1" applyFill="1" applyBorder="1" applyAlignment="1">
      <alignment horizontal="center" vertical="center"/>
    </xf>
    <xf numFmtId="0" fontId="1" fillId="0" borderId="57" xfId="0" applyFont="1" applyFill="1" applyBorder="1" applyAlignment="1">
      <alignment vertical="center" wrapText="1"/>
    </xf>
    <xf numFmtId="3" fontId="1" fillId="0" borderId="1" xfId="0" applyNumberFormat="1" applyFont="1" applyFill="1" applyBorder="1" applyAlignment="1">
      <alignment horizontal="center" vertical="center"/>
    </xf>
    <xf numFmtId="0" fontId="1" fillId="0" borderId="88" xfId="0" applyFont="1" applyFill="1" applyBorder="1" applyAlignment="1">
      <alignment vertical="center" wrapText="1"/>
    </xf>
    <xf numFmtId="0" fontId="21" fillId="0" borderId="0" xfId="0" applyFont="1" applyFill="1" applyBorder="1" applyAlignment="1">
      <alignment horizontal="center" vertical="center"/>
    </xf>
    <xf numFmtId="3" fontId="1" fillId="0" borderId="3" xfId="0" applyNumberFormat="1" applyFont="1" applyFill="1" applyBorder="1" applyAlignment="1">
      <alignment horizontal="center"/>
    </xf>
    <xf numFmtId="0" fontId="1" fillId="0" borderId="63" xfId="0" applyFont="1" applyFill="1" applyBorder="1" applyAlignment="1">
      <alignment horizontal="center" vertical="center"/>
    </xf>
    <xf numFmtId="0" fontId="21" fillId="0" borderId="89" xfId="0" applyFont="1" applyFill="1" applyBorder="1" applyAlignment="1">
      <alignment vertical="center"/>
    </xf>
    <xf numFmtId="0" fontId="21" fillId="0" borderId="85" xfId="0" applyFont="1" applyFill="1" applyBorder="1" applyAlignment="1">
      <alignment horizontal="center" vertical="center"/>
    </xf>
    <xf numFmtId="3" fontId="21" fillId="0" borderId="15" xfId="0" applyNumberFormat="1" applyFont="1" applyFill="1" applyBorder="1" applyAlignment="1">
      <alignment horizontal="center" vertical="center"/>
    </xf>
    <xf numFmtId="0" fontId="1" fillId="0" borderId="73" xfId="0" applyFont="1" applyFill="1" applyBorder="1" applyAlignment="1">
      <alignment horizontal="center" vertical="center"/>
    </xf>
    <xf numFmtId="0" fontId="1" fillId="0" borderId="81" xfId="0" applyFont="1" applyFill="1" applyBorder="1" applyAlignment="1">
      <alignment vertical="center" wrapText="1"/>
    </xf>
    <xf numFmtId="0" fontId="21" fillId="0" borderId="22" xfId="0" applyFont="1" applyFill="1" applyBorder="1" applyAlignment="1">
      <alignment horizontal="center" vertical="center"/>
    </xf>
    <xf numFmtId="3" fontId="1" fillId="0" borderId="13" xfId="0" applyNumberFormat="1" applyFont="1" applyFill="1" applyBorder="1" applyAlignment="1">
      <alignment horizontal="center" vertical="center"/>
    </xf>
    <xf numFmtId="0" fontId="21" fillId="0" borderId="17" xfId="0" applyFont="1" applyFill="1" applyBorder="1" applyAlignment="1">
      <alignment horizontal="center" vertical="center"/>
    </xf>
    <xf numFmtId="3" fontId="1" fillId="0" borderId="2" xfId="0" applyNumberFormat="1" applyFont="1" applyFill="1" applyBorder="1" applyAlignment="1">
      <alignment horizontal="center"/>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xf>
    <xf numFmtId="169" fontId="21" fillId="0" borderId="4" xfId="0" applyNumberFormat="1" applyFont="1" applyFill="1" applyBorder="1" applyAlignment="1">
      <alignment horizontal="center"/>
    </xf>
    <xf numFmtId="0" fontId="1" fillId="0" borderId="30" xfId="0" applyFont="1" applyFill="1" applyBorder="1" applyAlignment="1">
      <alignment horizontal="center" vertical="center"/>
    </xf>
    <xf numFmtId="3" fontId="1" fillId="0" borderId="13" xfId="0" applyNumberFormat="1" applyFont="1" applyFill="1" applyBorder="1" applyAlignment="1">
      <alignment horizontal="center"/>
    </xf>
    <xf numFmtId="3" fontId="1" fillId="0" borderId="13" xfId="0" applyNumberFormat="1" applyFont="1" applyFill="1" applyBorder="1" applyAlignment="1"/>
    <xf numFmtId="0" fontId="21" fillId="0" borderId="6" xfId="0" applyFont="1" applyFill="1" applyBorder="1" applyAlignment="1">
      <alignment horizontal="center" vertical="center"/>
    </xf>
    <xf numFmtId="3" fontId="1" fillId="0" borderId="0" xfId="0" applyNumberFormat="1" applyFont="1" applyFill="1" applyBorder="1" applyAlignment="1">
      <alignment horizontal="center"/>
    </xf>
    <xf numFmtId="0" fontId="21" fillId="0" borderId="73" xfId="0" applyFont="1" applyFill="1" applyBorder="1" applyAlignment="1">
      <alignment horizontal="center" vertical="center"/>
    </xf>
    <xf numFmtId="0" fontId="1" fillId="0" borderId="90" xfId="0" applyFont="1" applyFill="1" applyBorder="1" applyAlignment="1">
      <alignment vertical="center" wrapText="1"/>
    </xf>
    <xf numFmtId="3" fontId="1" fillId="0" borderId="0" xfId="0" applyNumberFormat="1" applyFont="1" applyFill="1" applyBorder="1" applyAlignment="1">
      <alignment horizontal="center" vertical="center"/>
    </xf>
    <xf numFmtId="0" fontId="1" fillId="0" borderId="89" xfId="0" applyFont="1" applyFill="1" applyBorder="1" applyAlignment="1">
      <alignment vertical="center" wrapText="1"/>
    </xf>
    <xf numFmtId="3" fontId="1" fillId="0" borderId="15" xfId="0" applyNumberFormat="1" applyFont="1" applyFill="1" applyBorder="1" applyAlignment="1">
      <alignment horizontal="center" vertical="center"/>
    </xf>
    <xf numFmtId="0" fontId="21" fillId="0" borderId="89" xfId="0" applyFont="1" applyFill="1" applyBorder="1" applyAlignment="1">
      <alignment vertical="center" wrapText="1"/>
    </xf>
    <xf numFmtId="0" fontId="1" fillId="0" borderId="71" xfId="0" applyFont="1" applyFill="1" applyBorder="1" applyAlignment="1">
      <alignment vertical="center" wrapText="1"/>
    </xf>
    <xf numFmtId="0" fontId="21" fillId="0" borderId="61" xfId="0" applyFont="1" applyFill="1" applyBorder="1" applyAlignment="1">
      <alignment horizontal="center" vertical="center"/>
    </xf>
    <xf numFmtId="3" fontId="1" fillId="0" borderId="54" xfId="0" applyNumberFormat="1" applyFont="1" applyFill="1" applyBorder="1" applyAlignment="1">
      <alignment horizontal="center"/>
    </xf>
    <xf numFmtId="0" fontId="1" fillId="0" borderId="56" xfId="0" applyFont="1" applyFill="1" applyBorder="1" applyAlignment="1">
      <alignment horizontal="center" vertical="center"/>
    </xf>
    <xf numFmtId="0" fontId="1" fillId="0" borderId="76" xfId="0" applyFont="1" applyFill="1" applyBorder="1" applyAlignment="1">
      <alignment vertical="center" wrapText="1"/>
    </xf>
    <xf numFmtId="0" fontId="21" fillId="0" borderId="86" xfId="0" applyFont="1" applyFill="1" applyBorder="1" applyAlignment="1">
      <alignment horizontal="center" vertical="center"/>
    </xf>
    <xf numFmtId="3" fontId="1" fillId="0" borderId="32" xfId="0" applyNumberFormat="1" applyFont="1" applyFill="1" applyBorder="1" applyAlignment="1">
      <alignment horizontal="center"/>
    </xf>
    <xf numFmtId="0" fontId="1" fillId="0" borderId="68" xfId="0" applyFont="1" applyFill="1" applyBorder="1" applyAlignment="1">
      <alignment horizontal="center" vertical="center"/>
    </xf>
    <xf numFmtId="0" fontId="21" fillId="0" borderId="64" xfId="0" applyFont="1" applyFill="1" applyBorder="1" applyAlignment="1">
      <alignment vertical="center" wrapText="1"/>
    </xf>
    <xf numFmtId="0" fontId="21" fillId="0" borderId="68" xfId="0" applyFont="1" applyFill="1" applyBorder="1" applyAlignment="1">
      <alignment horizontal="center" vertical="center"/>
    </xf>
    <xf numFmtId="3" fontId="21" fillId="0" borderId="8" xfId="0" applyNumberFormat="1" applyFont="1" applyBorder="1" applyAlignment="1">
      <alignment horizontal="center"/>
    </xf>
    <xf numFmtId="0" fontId="21" fillId="0" borderId="1" xfId="0" applyFont="1" applyBorder="1" applyAlignment="1">
      <alignment horizontal="left"/>
    </xf>
    <xf numFmtId="0" fontId="1" fillId="0" borderId="2" xfId="0" applyFont="1" applyBorder="1" applyAlignment="1">
      <alignment horizontal="left" vertical="center"/>
    </xf>
    <xf numFmtId="3" fontId="1" fillId="0" borderId="2" xfId="0" applyNumberFormat="1" applyFont="1" applyBorder="1"/>
    <xf numFmtId="169" fontId="21" fillId="0" borderId="9" xfId="0" applyNumberFormat="1" applyFont="1" applyBorder="1" applyAlignment="1">
      <alignment horizontal="right" wrapText="1"/>
    </xf>
    <xf numFmtId="0" fontId="21" fillId="0" borderId="0" xfId="0" applyFont="1" applyBorder="1" applyAlignment="1">
      <alignment horizontal="left"/>
    </xf>
    <xf numFmtId="169" fontId="21" fillId="0" borderId="0" xfId="0" applyNumberFormat="1" applyFont="1" applyBorder="1" applyAlignment="1">
      <alignment horizontal="right" wrapText="1"/>
    </xf>
    <xf numFmtId="0" fontId="21" fillId="0" borderId="22" xfId="0" applyFont="1" applyBorder="1" applyAlignment="1">
      <alignment horizontal="center" vertical="center"/>
    </xf>
    <xf numFmtId="3" fontId="1" fillId="0" borderId="51" xfId="0" applyNumberFormat="1" applyFont="1" applyBorder="1" applyAlignment="1">
      <alignment horizontal="center" vertical="center"/>
    </xf>
    <xf numFmtId="0" fontId="1" fillId="0" borderId="63" xfId="0" applyFont="1" applyBorder="1" applyAlignment="1">
      <alignment horizontal="center" vertical="center"/>
    </xf>
    <xf numFmtId="0" fontId="21" fillId="0" borderId="17" xfId="0" applyFont="1" applyBorder="1" applyAlignment="1">
      <alignment horizontal="center" vertical="center"/>
    </xf>
    <xf numFmtId="3" fontId="1" fillId="0" borderId="50" xfId="0" applyNumberFormat="1" applyFont="1" applyBorder="1" applyAlignment="1">
      <alignment horizontal="center" vertical="center"/>
    </xf>
    <xf numFmtId="0" fontId="1" fillId="0" borderId="83" xfId="0" applyFont="1" applyBorder="1" applyAlignment="1">
      <alignment horizontal="center" vertical="center"/>
    </xf>
    <xf numFmtId="0" fontId="21" fillId="0" borderId="57" xfId="0" applyFont="1" applyFill="1" applyBorder="1" applyAlignment="1">
      <alignment vertical="center"/>
    </xf>
    <xf numFmtId="3" fontId="21" fillId="0" borderId="91" xfId="0" applyNumberFormat="1" applyFont="1" applyBorder="1" applyAlignment="1">
      <alignment horizontal="center" vertical="center"/>
    </xf>
    <xf numFmtId="0" fontId="21" fillId="0" borderId="2" xfId="0" applyFont="1" applyBorder="1" applyAlignment="1">
      <alignment horizontal="center" vertical="center"/>
    </xf>
    <xf numFmtId="0" fontId="1" fillId="0" borderId="95" xfId="0" applyFont="1" applyBorder="1" applyAlignment="1">
      <alignment horizontal="center" vertical="center"/>
    </xf>
    <xf numFmtId="0" fontId="21" fillId="0" borderId="6" xfId="0" applyFont="1" applyBorder="1" applyAlignment="1">
      <alignment horizontal="center" vertical="center"/>
    </xf>
    <xf numFmtId="3" fontId="1" fillId="0" borderId="91" xfId="0" applyNumberFormat="1" applyFont="1" applyBorder="1" applyAlignment="1">
      <alignment horizontal="center" vertical="center"/>
    </xf>
    <xf numFmtId="0" fontId="21" fillId="0" borderId="87" xfId="0" applyFont="1" applyFill="1" applyBorder="1" applyAlignment="1">
      <alignment vertical="center"/>
    </xf>
    <xf numFmtId="0" fontId="21" fillId="0" borderId="15" xfId="0" applyFont="1" applyBorder="1" applyAlignment="1">
      <alignment horizontal="center" vertical="center"/>
    </xf>
    <xf numFmtId="3" fontId="21" fillId="0" borderId="87" xfId="0" applyNumberFormat="1" applyFont="1" applyBorder="1" applyAlignment="1">
      <alignment horizontal="center" vertical="center"/>
    </xf>
    <xf numFmtId="0" fontId="1" fillId="0" borderId="16" xfId="0" applyFont="1" applyBorder="1" applyAlignment="1">
      <alignment horizontal="center" vertical="center"/>
    </xf>
    <xf numFmtId="0" fontId="21" fillId="0" borderId="32" xfId="0" applyFont="1" applyBorder="1" applyAlignment="1">
      <alignment horizontal="center" vertical="center"/>
    </xf>
    <xf numFmtId="3" fontId="1" fillId="0" borderId="0" xfId="0" applyNumberFormat="1" applyFont="1" applyAlignment="1">
      <alignment horizontal="left" vertical="center"/>
    </xf>
    <xf numFmtId="0" fontId="21" fillId="0" borderId="1" xfId="0" applyFont="1" applyBorder="1" applyAlignment="1">
      <alignment horizontal="left" vertical="center"/>
    </xf>
    <xf numFmtId="0" fontId="21" fillId="0" borderId="82" xfId="0" applyFont="1" applyBorder="1" applyAlignment="1">
      <alignment horizontal="center" vertical="center"/>
    </xf>
    <xf numFmtId="0" fontId="1" fillId="0" borderId="57" xfId="0" applyFont="1" applyFill="1" applyBorder="1" applyAlignment="1">
      <alignment horizontal="left" vertical="center" wrapText="1"/>
    </xf>
    <xf numFmtId="3" fontId="1" fillId="0" borderId="50" xfId="0" applyNumberFormat="1" applyFont="1" applyFill="1" applyBorder="1" applyAlignment="1">
      <alignment horizontal="center" vertical="center"/>
    </xf>
    <xf numFmtId="0" fontId="1" fillId="0" borderId="68" xfId="0" applyFont="1" applyBorder="1" applyAlignment="1">
      <alignment horizontal="center" vertical="center"/>
    </xf>
    <xf numFmtId="0" fontId="21" fillId="0" borderId="87" xfId="0" applyFont="1" applyFill="1" applyBorder="1" applyAlignment="1">
      <alignment vertical="center" wrapText="1"/>
    </xf>
    <xf numFmtId="0" fontId="21" fillId="0" borderId="87" xfId="0" applyFont="1" applyBorder="1" applyAlignment="1">
      <alignment horizontal="center" vertical="center"/>
    </xf>
    <xf numFmtId="3" fontId="21" fillId="0" borderId="16" xfId="0" applyNumberFormat="1" applyFont="1" applyBorder="1" applyAlignment="1">
      <alignment horizontal="center" vertical="center"/>
    </xf>
    <xf numFmtId="0" fontId="21" fillId="0" borderId="16" xfId="0" applyFont="1" applyBorder="1" applyAlignment="1">
      <alignment horizontal="center" vertical="center"/>
    </xf>
    <xf numFmtId="3" fontId="1" fillId="0" borderId="87" xfId="0" applyNumberFormat="1" applyFont="1" applyBorder="1" applyAlignment="1">
      <alignment horizontal="center" vertical="center"/>
    </xf>
    <xf numFmtId="3" fontId="21" fillId="0" borderId="3" xfId="0" applyNumberFormat="1" applyFont="1" applyBorder="1"/>
    <xf numFmtId="3" fontId="21" fillId="0" borderId="8" xfId="0" applyNumberFormat="1" applyFont="1" applyBorder="1"/>
    <xf numFmtId="169" fontId="1" fillId="0" borderId="3" xfId="0" applyNumberFormat="1" applyFont="1" applyBorder="1"/>
    <xf numFmtId="169" fontId="1" fillId="0" borderId="6" xfId="0" applyNumberFormat="1" applyFont="1" applyBorder="1"/>
    <xf numFmtId="169" fontId="1" fillId="0" borderId="8" xfId="0" applyNumberFormat="1" applyFont="1" applyBorder="1"/>
    <xf numFmtId="169" fontId="1" fillId="0" borderId="0" xfId="0" applyNumberFormat="1" applyFont="1" applyFill="1" applyBorder="1"/>
    <xf numFmtId="169" fontId="1" fillId="0" borderId="6" xfId="0" applyNumberFormat="1" applyFont="1" applyFill="1" applyBorder="1"/>
    <xf numFmtId="169" fontId="1" fillId="0" borderId="8" xfId="0" applyNumberFormat="1" applyFont="1" applyFill="1" applyBorder="1"/>
    <xf numFmtId="3" fontId="1" fillId="0" borderId="3" xfId="0" applyNumberFormat="1" applyFont="1" applyBorder="1"/>
    <xf numFmtId="3" fontId="21" fillId="0" borderId="1" xfId="0" applyNumberFormat="1" applyFont="1" applyBorder="1" applyAlignment="1">
      <alignment vertical="center"/>
    </xf>
    <xf numFmtId="3" fontId="1" fillId="0" borderId="2" xfId="0" applyNumberFormat="1" applyFont="1" applyBorder="1" applyAlignment="1">
      <alignment vertical="center"/>
    </xf>
    <xf numFmtId="3" fontId="1" fillId="0" borderId="2" xfId="0" applyNumberFormat="1" applyFont="1" applyFill="1" applyBorder="1" applyAlignment="1">
      <alignment vertical="center"/>
    </xf>
    <xf numFmtId="169" fontId="1" fillId="0" borderId="17" xfId="0" applyNumberFormat="1" applyFont="1" applyFill="1" applyBorder="1"/>
    <xf numFmtId="3" fontId="21" fillId="0" borderId="4" xfId="0" applyNumberFormat="1" applyFont="1" applyFill="1" applyBorder="1" applyAlignment="1">
      <alignment vertical="center"/>
    </xf>
    <xf numFmtId="14" fontId="1" fillId="0" borderId="0" xfId="0" applyNumberFormat="1" applyFont="1" applyFill="1"/>
    <xf numFmtId="169" fontId="1" fillId="0" borderId="22" xfId="0" applyNumberFormat="1" applyFont="1" applyFill="1" applyBorder="1"/>
    <xf numFmtId="3" fontId="21" fillId="0" borderId="1" xfId="0" applyNumberFormat="1" applyFont="1" applyBorder="1"/>
    <xf numFmtId="3" fontId="21" fillId="0" borderId="4" xfId="0" applyNumberFormat="1" applyFont="1" applyBorder="1"/>
    <xf numFmtId="3" fontId="21" fillId="0" borderId="9" xfId="0" applyNumberFormat="1" applyFont="1" applyBorder="1"/>
    <xf numFmtId="0" fontId="1" fillId="8" borderId="70" xfId="0" applyFont="1" applyFill="1" applyBorder="1" applyAlignment="1">
      <alignment vertical="center"/>
    </xf>
    <xf numFmtId="0" fontId="1" fillId="8" borderId="34" xfId="0" applyFont="1" applyFill="1" applyBorder="1" applyAlignment="1">
      <alignment vertical="center"/>
    </xf>
    <xf numFmtId="0" fontId="1" fillId="8" borderId="74" xfId="0" applyFont="1" applyFill="1" applyBorder="1" applyAlignment="1">
      <alignment vertical="center"/>
    </xf>
    <xf numFmtId="0" fontId="1" fillId="0" borderId="92" xfId="0" applyFont="1" applyFill="1" applyBorder="1" applyAlignment="1">
      <alignment vertical="center" wrapText="1"/>
    </xf>
    <xf numFmtId="0" fontId="1" fillId="0" borderId="61" xfId="0" applyFont="1" applyBorder="1" applyAlignment="1">
      <alignment horizontal="center" vertical="center"/>
    </xf>
    <xf numFmtId="3" fontId="1" fillId="0" borderId="58" xfId="0" applyNumberFormat="1" applyFont="1" applyBorder="1" applyAlignment="1">
      <alignment horizontal="right" vertical="center"/>
    </xf>
    <xf numFmtId="0" fontId="1" fillId="0" borderId="59" xfId="0" applyFont="1" applyBorder="1" applyAlignment="1">
      <alignment horizontal="center" vertical="center"/>
    </xf>
    <xf numFmtId="0" fontId="1" fillId="0" borderId="55" xfId="0" applyFont="1" applyBorder="1" applyAlignment="1">
      <alignment horizontal="center" vertical="center"/>
    </xf>
    <xf numFmtId="3" fontId="1" fillId="0" borderId="58" xfId="0" applyNumberFormat="1" applyFont="1" applyBorder="1" applyAlignment="1">
      <alignment horizontal="left" vertical="center"/>
    </xf>
    <xf numFmtId="0" fontId="1" fillId="0" borderId="58" xfId="0" applyFont="1" applyBorder="1" applyAlignment="1">
      <alignment horizontal="center" vertical="center"/>
    </xf>
    <xf numFmtId="3" fontId="1" fillId="0" borderId="55" xfId="0" applyNumberFormat="1" applyFont="1" applyBorder="1" applyAlignment="1">
      <alignment horizontal="center" vertical="center"/>
    </xf>
    <xf numFmtId="0" fontId="1" fillId="0" borderId="56" xfId="0" applyFont="1" applyBorder="1" applyAlignment="1">
      <alignment horizontal="center" vertical="center"/>
    </xf>
    <xf numFmtId="0" fontId="1" fillId="8" borderId="17" xfId="0" applyFont="1" applyFill="1" applyBorder="1" applyAlignment="1">
      <alignment vertical="center"/>
    </xf>
    <xf numFmtId="0" fontId="1" fillId="8" borderId="4" xfId="0" applyFont="1" applyFill="1" applyBorder="1" applyAlignment="1">
      <alignment horizontal="center" vertical="center"/>
    </xf>
    <xf numFmtId="3" fontId="1" fillId="0" borderId="4" xfId="0" applyNumberFormat="1" applyFont="1" applyBorder="1" applyAlignment="1">
      <alignment horizontal="right" vertical="center"/>
    </xf>
    <xf numFmtId="0" fontId="1" fillId="8" borderId="4" xfId="0" applyFont="1" applyFill="1" applyBorder="1" applyAlignment="1">
      <alignment vertical="center"/>
    </xf>
    <xf numFmtId="0" fontId="1" fillId="8" borderId="75" xfId="0" applyFont="1" applyFill="1" applyBorder="1" applyAlignment="1">
      <alignment vertical="center"/>
    </xf>
    <xf numFmtId="3" fontId="1" fillId="0" borderId="4" xfId="0" applyNumberFormat="1" applyFont="1" applyBorder="1" applyAlignment="1">
      <alignment horizontal="center" vertical="center"/>
    </xf>
    <xf numFmtId="0" fontId="1" fillId="8" borderId="1" xfId="0" applyFont="1" applyFill="1" applyBorder="1" applyAlignment="1">
      <alignment vertical="center"/>
    </xf>
    <xf numFmtId="0" fontId="1" fillId="8" borderId="1" xfId="0" applyFont="1" applyFill="1" applyBorder="1" applyAlignment="1">
      <alignment horizontal="center" vertical="center"/>
    </xf>
    <xf numFmtId="0" fontId="1" fillId="0" borderId="35" xfId="0" applyFont="1" applyBorder="1" applyAlignment="1">
      <alignment horizontal="center" vertical="center"/>
    </xf>
    <xf numFmtId="0" fontId="1" fillId="0" borderId="1" xfId="0" applyFont="1" applyBorder="1" applyAlignment="1">
      <alignment horizontal="center" vertical="center"/>
    </xf>
    <xf numFmtId="3" fontId="1" fillId="0" borderId="4" xfId="0" applyNumberFormat="1" applyFont="1" applyFill="1" applyBorder="1" applyAlignment="1">
      <alignment horizontal="center" vertical="center"/>
    </xf>
    <xf numFmtId="3" fontId="1" fillId="0" borderId="4" xfId="0" applyNumberFormat="1" applyFont="1" applyFill="1" applyBorder="1" applyAlignment="1">
      <alignment horizontal="right" vertical="center"/>
    </xf>
    <xf numFmtId="3" fontId="1" fillId="0" borderId="4" xfId="0" applyNumberFormat="1" applyFont="1" applyBorder="1" applyAlignment="1">
      <alignment vertical="center"/>
    </xf>
    <xf numFmtId="0" fontId="1" fillId="0" borderId="93" xfId="0" applyFont="1" applyFill="1" applyBorder="1" applyAlignment="1">
      <alignment vertical="center" wrapText="1"/>
    </xf>
    <xf numFmtId="3" fontId="1" fillId="9" borderId="65" xfId="0" applyNumberFormat="1" applyFont="1" applyFill="1" applyBorder="1" applyAlignment="1">
      <alignment horizontal="center" vertical="center"/>
    </xf>
    <xf numFmtId="0" fontId="1" fillId="0" borderId="67" xfId="0" applyFont="1" applyBorder="1" applyAlignment="1">
      <alignment horizontal="center" vertical="center"/>
    </xf>
    <xf numFmtId="3" fontId="1" fillId="0" borderId="65" xfId="0" applyNumberFormat="1" applyFont="1" applyBorder="1" applyAlignment="1">
      <alignment vertical="center"/>
    </xf>
    <xf numFmtId="0" fontId="1" fillId="8" borderId="66" xfId="0" applyFont="1" applyFill="1" applyBorder="1" applyAlignment="1">
      <alignment vertical="center"/>
    </xf>
    <xf numFmtId="0" fontId="1" fillId="8" borderId="65" xfId="0" applyFont="1" applyFill="1" applyBorder="1" applyAlignment="1">
      <alignment horizontal="center" vertical="center"/>
    </xf>
    <xf numFmtId="0" fontId="1" fillId="0" borderId="65" xfId="0" applyFont="1" applyBorder="1" applyAlignment="1">
      <alignment horizontal="center" vertical="center"/>
    </xf>
    <xf numFmtId="3" fontId="1" fillId="0" borderId="65" xfId="0" applyNumberFormat="1" applyFont="1" applyBorder="1" applyAlignment="1">
      <alignment horizontal="center" vertical="center"/>
    </xf>
    <xf numFmtId="0" fontId="1" fillId="8" borderId="65" xfId="0" applyFont="1" applyFill="1" applyBorder="1" applyAlignment="1">
      <alignment vertical="center"/>
    </xf>
    <xf numFmtId="0" fontId="1" fillId="8" borderId="69" xfId="0" applyFont="1" applyFill="1" applyBorder="1" applyAlignment="1">
      <alignment horizontal="center" vertical="center"/>
    </xf>
    <xf numFmtId="0" fontId="1" fillId="0" borderId="44" xfId="0" applyFont="1" applyBorder="1" applyAlignment="1">
      <alignment horizontal="center" vertical="center"/>
    </xf>
    <xf numFmtId="0" fontId="1" fillId="0" borderId="94" xfId="0" applyFont="1" applyFill="1" applyBorder="1" applyAlignment="1">
      <alignment vertical="center" wrapText="1"/>
    </xf>
    <xf numFmtId="0" fontId="21" fillId="0" borderId="54" xfId="0" applyFont="1" applyBorder="1" applyAlignment="1">
      <alignment horizontal="center" vertical="center"/>
    </xf>
    <xf numFmtId="3" fontId="1" fillId="0" borderId="60" xfId="0" applyNumberFormat="1" applyFont="1" applyBorder="1" applyAlignment="1">
      <alignment horizontal="right"/>
    </xf>
    <xf numFmtId="0" fontId="21" fillId="0" borderId="60" xfId="0" applyFont="1" applyBorder="1" applyAlignment="1">
      <alignment horizontal="center" vertical="center"/>
    </xf>
    <xf numFmtId="3" fontId="1" fillId="0" borderId="1" xfId="0" applyNumberFormat="1" applyFont="1" applyBorder="1" applyAlignment="1">
      <alignment horizontal="right"/>
    </xf>
    <xf numFmtId="0" fontId="21" fillId="0" borderId="1" xfId="0" applyFont="1" applyBorder="1" applyAlignment="1">
      <alignment horizontal="center" vertical="center"/>
    </xf>
    <xf numFmtId="0" fontId="21" fillId="8" borderId="1" xfId="0" applyFont="1" applyFill="1" applyBorder="1" applyAlignment="1">
      <alignment vertical="center"/>
    </xf>
    <xf numFmtId="0" fontId="21" fillId="8" borderId="3" xfId="0" applyFont="1" applyFill="1" applyBorder="1" applyAlignment="1">
      <alignment vertical="center"/>
    </xf>
    <xf numFmtId="0" fontId="21" fillId="8" borderId="12" xfId="0" applyFont="1" applyFill="1" applyBorder="1" applyAlignment="1">
      <alignment vertical="center"/>
    </xf>
    <xf numFmtId="0" fontId="21" fillId="8" borderId="0" xfId="0" applyFont="1" applyFill="1" applyBorder="1" applyAlignment="1">
      <alignment vertical="center"/>
    </xf>
    <xf numFmtId="0" fontId="21" fillId="8" borderId="10" xfId="0" applyFont="1" applyFill="1" applyBorder="1" applyAlignment="1">
      <alignment vertical="center"/>
    </xf>
    <xf numFmtId="3" fontId="1" fillId="0" borderId="4" xfId="0" applyNumberFormat="1" applyFont="1" applyBorder="1" applyAlignment="1">
      <alignment horizontal="right"/>
    </xf>
    <xf numFmtId="0" fontId="21" fillId="0" borderId="4" xfId="0" applyFont="1" applyBorder="1" applyAlignment="1">
      <alignment horizontal="center" vertical="center"/>
    </xf>
    <xf numFmtId="3" fontId="1" fillId="0" borderId="4" xfId="0" applyNumberFormat="1" applyFont="1" applyFill="1" applyBorder="1" applyAlignment="1">
      <alignment horizontal="right"/>
    </xf>
    <xf numFmtId="3" fontId="1" fillId="0" borderId="65" xfId="0" applyNumberFormat="1" applyFont="1" applyBorder="1" applyAlignment="1">
      <alignment horizontal="right"/>
    </xf>
    <xf numFmtId="0" fontId="21" fillId="0" borderId="65" xfId="0" applyFont="1" applyBorder="1" applyAlignment="1">
      <alignment horizontal="center" vertical="center"/>
    </xf>
    <xf numFmtId="0" fontId="21" fillId="8" borderId="65" xfId="0" applyFont="1" applyFill="1" applyBorder="1" applyAlignment="1">
      <alignment vertical="center"/>
    </xf>
    <xf numFmtId="0" fontId="21" fillId="8" borderId="69" xfId="0" applyFont="1" applyFill="1" applyBorder="1" applyAlignment="1">
      <alignment vertical="center"/>
    </xf>
    <xf numFmtId="173" fontId="1" fillId="0" borderId="5" xfId="2" applyNumberFormat="1" applyFont="1" applyFill="1" applyBorder="1" applyAlignment="1"/>
    <xf numFmtId="173" fontId="1" fillId="0" borderId="22" xfId="2" applyNumberFormat="1" applyFont="1" applyFill="1" applyBorder="1" applyAlignment="1"/>
    <xf numFmtId="3" fontId="1" fillId="0" borderId="0" xfId="1" applyNumberFormat="1" applyFont="1"/>
    <xf numFmtId="3" fontId="1" fillId="0" borderId="13" xfId="1" quotePrefix="1" applyNumberFormat="1" applyFont="1" applyBorder="1" applyAlignment="1">
      <alignment horizontal="center"/>
    </xf>
    <xf numFmtId="3" fontId="1" fillId="0" borderId="0" xfId="1" applyNumberFormat="1" applyFont="1" applyAlignment="1">
      <alignment horizontal="right"/>
    </xf>
    <xf numFmtId="3" fontId="1" fillId="0" borderId="0" xfId="1" applyNumberFormat="1" applyFont="1" applyAlignment="1">
      <alignment horizontal="center"/>
    </xf>
    <xf numFmtId="3" fontId="1" fillId="0" borderId="4" xfId="1" applyNumberFormat="1" applyFont="1" applyBorder="1"/>
    <xf numFmtId="3" fontId="1" fillId="0" borderId="1" xfId="1" applyNumberFormat="1" applyFont="1" applyBorder="1"/>
    <xf numFmtId="3" fontId="1" fillId="0" borderId="17" xfId="1" applyNumberFormat="1" applyFont="1" applyBorder="1"/>
    <xf numFmtId="3" fontId="1" fillId="0" borderId="2" xfId="1" applyNumberFormat="1" applyFont="1" applyBorder="1"/>
    <xf numFmtId="3" fontId="1" fillId="10" borderId="0" xfId="1" applyNumberFormat="1" applyFont="1" applyFill="1"/>
    <xf numFmtId="3" fontId="1" fillId="0" borderId="9" xfId="1" applyNumberFormat="1" applyFont="1" applyBorder="1" applyAlignment="1">
      <alignment horizontal="center" vertical="center"/>
    </xf>
    <xf numFmtId="14" fontId="1" fillId="0" borderId="84" xfId="1" applyNumberFormat="1" applyFont="1" applyBorder="1" applyAlignment="1">
      <alignment horizontal="center" vertical="center"/>
    </xf>
    <xf numFmtId="3" fontId="1" fillId="0" borderId="84" xfId="1" applyNumberFormat="1" applyFont="1" applyBorder="1" applyAlignment="1">
      <alignment horizontal="center" vertical="center"/>
    </xf>
    <xf numFmtId="3" fontId="21" fillId="0" borderId="84" xfId="1" applyNumberFormat="1" applyFont="1" applyBorder="1" applyAlignment="1">
      <alignment horizontal="center" vertical="center"/>
    </xf>
    <xf numFmtId="3" fontId="1" fillId="0" borderId="0" xfId="1" applyNumberFormat="1" applyFont="1" applyAlignment="1">
      <alignment horizontal="center" vertical="center"/>
    </xf>
    <xf numFmtId="3" fontId="1" fillId="0" borderId="0" xfId="1" applyNumberFormat="1" applyFont="1" applyAlignment="1">
      <alignment horizontal="left" vertical="center"/>
    </xf>
    <xf numFmtId="3" fontId="1" fillId="10" borderId="0" xfId="1" applyNumberFormat="1" applyFont="1" applyFill="1" applyAlignment="1">
      <alignment horizontal="center" vertical="center" wrapText="1"/>
    </xf>
    <xf numFmtId="3" fontId="1" fillId="10" borderId="4" xfId="1" applyNumberFormat="1" applyFont="1" applyFill="1" applyBorder="1" applyAlignment="1">
      <alignment horizontal="center" vertical="center"/>
    </xf>
    <xf numFmtId="3" fontId="1" fillId="10" borderId="0" xfId="1" applyNumberFormat="1" applyFont="1" applyFill="1" applyAlignment="1">
      <alignment horizontal="center" vertical="center"/>
    </xf>
    <xf numFmtId="3" fontId="21" fillId="0" borderId="9" xfId="1" applyNumberFormat="1" applyFont="1" applyBorder="1" applyAlignment="1">
      <alignment horizontal="center" vertical="center"/>
    </xf>
    <xf numFmtId="3" fontId="1" fillId="0" borderId="0" xfId="8" applyNumberFormat="1" applyFont="1" applyAlignment="1">
      <alignment horizontal="center"/>
    </xf>
    <xf numFmtId="3" fontId="1" fillId="0" borderId="1" xfId="8" applyNumberFormat="1" applyFont="1" applyBorder="1" applyAlignment="1">
      <alignment vertical="center"/>
    </xf>
    <xf numFmtId="3" fontId="1" fillId="0" borderId="17" xfId="8" applyNumberFormat="1" applyFont="1" applyBorder="1" applyAlignment="1">
      <alignment vertical="center"/>
    </xf>
    <xf numFmtId="3" fontId="1" fillId="0" borderId="0" xfId="8" applyNumberFormat="1" applyFont="1" applyAlignment="1">
      <alignment vertical="center"/>
    </xf>
    <xf numFmtId="3" fontId="1" fillId="0" borderId="2" xfId="8" applyNumberFormat="1" applyFont="1" applyBorder="1" applyAlignment="1">
      <alignment vertical="center"/>
    </xf>
    <xf numFmtId="3" fontId="35" fillId="0" borderId="0" xfId="8" applyNumberFormat="1" applyFont="1"/>
    <xf numFmtId="3" fontId="35" fillId="0" borderId="0" xfId="1" applyNumberFormat="1" applyFont="1"/>
    <xf numFmtId="3" fontId="21" fillId="0" borderId="0" xfId="8" quotePrefix="1" applyNumberFormat="1" applyFont="1" applyAlignment="1">
      <alignment horizontal="left"/>
    </xf>
    <xf numFmtId="3" fontId="21" fillId="0" borderId="0" xfId="1" applyNumberFormat="1" applyFont="1"/>
    <xf numFmtId="3" fontId="21" fillId="10" borderId="2" xfId="1" applyNumberFormat="1" applyFont="1" applyFill="1" applyBorder="1" applyAlignment="1">
      <alignment vertical="center" wrapText="1"/>
    </xf>
    <xf numFmtId="3" fontId="21" fillId="10" borderId="0" xfId="1" applyNumberFormat="1" applyFont="1" applyFill="1"/>
    <xf numFmtId="0" fontId="30" fillId="0" borderId="13" xfId="0" applyFont="1" applyBorder="1" applyAlignment="1">
      <alignment horizontal="center"/>
    </xf>
    <xf numFmtId="0" fontId="30" fillId="0" borderId="0" xfId="0" applyFont="1"/>
    <xf numFmtId="0" fontId="30" fillId="0" borderId="13" xfId="0" applyFont="1" applyBorder="1"/>
    <xf numFmtId="0" fontId="21" fillId="5" borderId="0" xfId="0" applyFont="1" applyFill="1"/>
    <xf numFmtId="0" fontId="1" fillId="0" borderId="0" xfId="0" applyFont="1" applyAlignment="1">
      <alignment vertical="top" wrapText="1"/>
    </xf>
    <xf numFmtId="0" fontId="1" fillId="0" borderId="0" xfId="0" applyFont="1" applyAlignment="1">
      <alignment wrapText="1"/>
    </xf>
    <xf numFmtId="49" fontId="1" fillId="0" borderId="9"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184" fontId="1" fillId="0" borderId="9" xfId="0" applyNumberFormat="1" applyFont="1" applyBorder="1"/>
    <xf numFmtId="3" fontId="1" fillId="0" borderId="9" xfId="0" applyNumberFormat="1" applyFont="1" applyBorder="1" applyAlignment="1">
      <alignment horizontal="right"/>
    </xf>
    <xf numFmtId="178" fontId="1" fillId="0" borderId="9" xfId="0" applyNumberFormat="1" applyFont="1" applyBorder="1" applyAlignment="1">
      <alignment horizontal="right"/>
    </xf>
    <xf numFmtId="3" fontId="1" fillId="0" borderId="22" xfId="0" applyNumberFormat="1" applyFont="1" applyBorder="1" applyAlignment="1">
      <alignment horizontal="right"/>
    </xf>
    <xf numFmtId="3" fontId="1" fillId="0" borderId="12" xfId="0" applyNumberFormat="1" applyFont="1" applyBorder="1" applyAlignment="1">
      <alignment horizontal="right"/>
    </xf>
    <xf numFmtId="3" fontId="1" fillId="0" borderId="0" xfId="0" applyNumberFormat="1" applyFont="1" applyAlignment="1">
      <alignment horizontal="right"/>
    </xf>
    <xf numFmtId="0" fontId="1" fillId="0" borderId="4" xfId="0" applyFont="1" applyBorder="1" applyAlignment="1">
      <alignment horizontal="center"/>
    </xf>
    <xf numFmtId="0" fontId="1" fillId="0" borderId="4" xfId="0" applyFont="1" applyBorder="1"/>
    <xf numFmtId="0" fontId="1" fillId="5" borderId="4" xfId="0" applyFont="1" applyFill="1" applyBorder="1"/>
    <xf numFmtId="166" fontId="21" fillId="0" borderId="4" xfId="9" applyFont="1" applyBorder="1"/>
    <xf numFmtId="0" fontId="1" fillId="0" borderId="0" xfId="0" applyFont="1" applyAlignment="1">
      <alignment vertical="top"/>
    </xf>
    <xf numFmtId="0" fontId="1" fillId="0" borderId="11" xfId="0" applyFont="1" applyBorder="1" applyAlignment="1">
      <alignment vertical="center"/>
    </xf>
    <xf numFmtId="0" fontId="1" fillId="0" borderId="11" xfId="0" applyFont="1" applyBorder="1" applyAlignment="1">
      <alignment vertical="center" wrapText="1"/>
    </xf>
    <xf numFmtId="0" fontId="21"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1" fillId="0" borderId="3" xfId="0" applyFont="1" applyBorder="1"/>
    <xf numFmtId="3" fontId="21" fillId="0" borderId="70" xfId="0" applyNumberFormat="1" applyFont="1" applyBorder="1" applyAlignment="1">
      <alignment horizontal="center"/>
    </xf>
    <xf numFmtId="169" fontId="1" fillId="0" borderId="34" xfId="0" applyNumberFormat="1" applyFont="1" applyBorder="1" applyAlignment="1">
      <alignment horizontal="right" wrapText="1"/>
    </xf>
    <xf numFmtId="169" fontId="21" fillId="0" borderId="34" xfId="0" applyNumberFormat="1" applyFont="1" applyFill="1" applyBorder="1"/>
    <xf numFmtId="169" fontId="21" fillId="0" borderId="40" xfId="0" applyNumberFormat="1" applyFont="1" applyFill="1" applyBorder="1"/>
    <xf numFmtId="169" fontId="21" fillId="0" borderId="74" xfId="0" applyNumberFormat="1" applyFont="1" applyBorder="1" applyAlignment="1">
      <alignment horizontal="right" wrapText="1"/>
    </xf>
    <xf numFmtId="0" fontId="1" fillId="0" borderId="3" xfId="0" applyFont="1" applyFill="1" applyBorder="1" applyAlignment="1">
      <alignment horizontal="left"/>
    </xf>
    <xf numFmtId="0" fontId="1" fillId="0" borderId="0" xfId="0" applyFont="1" applyFill="1" applyAlignment="1">
      <alignment horizontal="left"/>
    </xf>
    <xf numFmtId="165" fontId="1" fillId="0" borderId="0" xfId="2" applyNumberFormat="1" applyFont="1" applyFill="1" applyBorder="1" applyAlignment="1"/>
    <xf numFmtId="170" fontId="21" fillId="11" borderId="4" xfId="0" applyNumberFormat="1" applyFont="1" applyFill="1" applyBorder="1" applyAlignment="1">
      <alignment horizontal="center" vertical="center" wrapText="1"/>
    </xf>
    <xf numFmtId="165" fontId="1" fillId="0" borderId="10" xfId="0" applyNumberFormat="1" applyFont="1" applyBorder="1"/>
    <xf numFmtId="180" fontId="21" fillId="5" borderId="4" xfId="2" applyNumberFormat="1" applyFont="1" applyFill="1" applyBorder="1" applyAlignment="1"/>
    <xf numFmtId="180" fontId="21" fillId="5" borderId="8" xfId="2" applyNumberFormat="1" applyFont="1" applyFill="1" applyBorder="1" applyAlignment="1"/>
    <xf numFmtId="180" fontId="1" fillId="5" borderId="3" xfId="2" applyNumberFormat="1" applyFont="1" applyFill="1" applyBorder="1" applyAlignment="1"/>
    <xf numFmtId="180" fontId="1" fillId="0" borderId="10" xfId="2" applyNumberFormat="1" applyFont="1" applyFill="1" applyBorder="1" applyAlignment="1">
      <alignment horizontal="right"/>
    </xf>
    <xf numFmtId="180" fontId="21" fillId="0" borderId="9" xfId="0" applyNumberFormat="1" applyFont="1" applyBorder="1" applyAlignment="1">
      <alignment horizontal="right" wrapText="1"/>
    </xf>
    <xf numFmtId="3" fontId="21" fillId="0" borderId="4" xfId="0" applyNumberFormat="1" applyFont="1" applyBorder="1"/>
    <xf numFmtId="3" fontId="21" fillId="0" borderId="0" xfId="0" applyNumberFormat="1" applyFont="1"/>
    <xf numFmtId="0" fontId="21" fillId="0" borderId="0" xfId="0" applyFont="1"/>
    <xf numFmtId="3" fontId="21" fillId="2" borderId="10" xfId="0" applyNumberFormat="1" applyFont="1" applyFill="1" applyBorder="1" applyAlignment="1">
      <alignment horizontal="center" vertical="center"/>
    </xf>
    <xf numFmtId="3" fontId="21" fillId="2" borderId="11" xfId="0" applyNumberFormat="1" applyFont="1" applyFill="1" applyBorder="1" applyAlignment="1">
      <alignment horizontal="center" vertical="center"/>
    </xf>
    <xf numFmtId="3" fontId="21" fillId="2" borderId="5" xfId="0" applyNumberFormat="1" applyFont="1" applyFill="1" applyBorder="1" applyAlignment="1">
      <alignment horizontal="center" vertical="center"/>
    </xf>
    <xf numFmtId="3" fontId="21" fillId="2" borderId="3" xfId="0" applyNumberFormat="1" applyFont="1" applyFill="1" applyBorder="1" applyAlignment="1">
      <alignment horizontal="center" vertical="center"/>
    </xf>
    <xf numFmtId="3" fontId="21" fillId="2" borderId="0" xfId="0" applyNumberFormat="1" applyFont="1" applyFill="1" applyAlignment="1">
      <alignment horizontal="center" vertical="center"/>
    </xf>
    <xf numFmtId="3" fontId="21" fillId="2" borderId="6" xfId="0" applyNumberFormat="1" applyFont="1" applyFill="1" applyBorder="1" applyAlignment="1">
      <alignment horizontal="center" vertical="center"/>
    </xf>
    <xf numFmtId="3" fontId="21" fillId="2" borderId="12" xfId="0" applyNumberFormat="1" applyFont="1" applyFill="1" applyBorder="1" applyAlignment="1">
      <alignment horizontal="center" vertical="center"/>
    </xf>
    <xf numFmtId="3" fontId="21" fillId="2" borderId="13" xfId="0" applyNumberFormat="1" applyFont="1" applyFill="1" applyBorder="1" applyAlignment="1">
      <alignment horizontal="center" vertical="center"/>
    </xf>
    <xf numFmtId="3" fontId="21" fillId="2" borderId="22" xfId="0" applyNumberFormat="1" applyFont="1" applyFill="1" applyBorder="1" applyAlignment="1">
      <alignment horizontal="center" vertical="center"/>
    </xf>
    <xf numFmtId="3" fontId="21" fillId="2" borderId="7" xfId="0" applyNumberFormat="1" applyFont="1" applyFill="1" applyBorder="1" applyAlignment="1">
      <alignment horizontal="center" vertical="center"/>
    </xf>
    <xf numFmtId="3" fontId="21" fillId="2" borderId="8" xfId="0" applyNumberFormat="1" applyFont="1" applyFill="1" applyBorder="1" applyAlignment="1">
      <alignment horizontal="center" vertical="center"/>
    </xf>
    <xf numFmtId="3" fontId="21" fillId="2" borderId="9" xfId="0" applyNumberFormat="1" applyFont="1" applyFill="1" applyBorder="1" applyAlignment="1">
      <alignment horizontal="center" vertical="center"/>
    </xf>
    <xf numFmtId="3" fontId="21" fillId="2" borderId="4" xfId="0" applyNumberFormat="1" applyFont="1" applyFill="1" applyBorder="1" applyAlignment="1">
      <alignment horizontal="center" vertical="center"/>
    </xf>
    <xf numFmtId="169" fontId="1" fillId="0" borderId="0" xfId="0" applyNumberFormat="1" applyFont="1" applyAlignment="1">
      <alignment vertical="top"/>
    </xf>
    <xf numFmtId="169" fontId="21" fillId="0" borderId="1" xfId="0" applyNumberFormat="1" applyFont="1" applyBorder="1" applyAlignment="1">
      <alignment horizontal="center" vertical="center"/>
    </xf>
    <xf numFmtId="169" fontId="21" fillId="0" borderId="17" xfId="0" applyNumberFormat="1" applyFont="1" applyBorder="1" applyAlignment="1">
      <alignment horizontal="center" vertical="center"/>
    </xf>
    <xf numFmtId="169" fontId="1" fillId="0" borderId="0" xfId="0" applyNumberFormat="1" applyFont="1" applyAlignment="1">
      <alignment horizontal="justify" vertical="top" wrapText="1"/>
    </xf>
    <xf numFmtId="3" fontId="21" fillId="2" borderId="1" xfId="0" applyNumberFormat="1" applyFont="1" applyFill="1" applyBorder="1" applyAlignment="1">
      <alignment horizontal="center" vertical="center"/>
    </xf>
    <xf numFmtId="3" fontId="21" fillId="2" borderId="2" xfId="0" applyNumberFormat="1" applyFont="1" applyFill="1" applyBorder="1" applyAlignment="1">
      <alignment horizontal="center" vertical="center"/>
    </xf>
    <xf numFmtId="3" fontId="21" fillId="2" borderId="17" xfId="0" applyNumberFormat="1" applyFont="1" applyFill="1" applyBorder="1" applyAlignment="1">
      <alignment horizontal="center" vertical="center"/>
    </xf>
    <xf numFmtId="3" fontId="21" fillId="2" borderId="4" xfId="0" applyNumberFormat="1" applyFont="1" applyFill="1" applyBorder="1" applyAlignment="1">
      <alignment horizontal="center" vertical="center" wrapText="1"/>
    </xf>
    <xf numFmtId="3" fontId="21" fillId="2" borderId="1"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3" fontId="21" fillId="2" borderId="17" xfId="0" applyNumberFormat="1" applyFont="1" applyFill="1" applyBorder="1" applyAlignment="1">
      <alignment horizontal="center" vertical="center" wrapText="1"/>
    </xf>
    <xf numFmtId="3" fontId="21" fillId="2" borderId="7" xfId="0" applyNumberFormat="1" applyFont="1" applyFill="1" applyBorder="1" applyAlignment="1">
      <alignment horizontal="center" vertical="center" wrapText="1"/>
    </xf>
    <xf numFmtId="3" fontId="21" fillId="2" borderId="8" xfId="0" applyNumberFormat="1" applyFont="1" applyFill="1" applyBorder="1" applyAlignment="1">
      <alignment horizontal="center" vertical="center" wrapText="1"/>
    </xf>
    <xf numFmtId="3" fontId="21" fillId="2" borderId="9" xfId="0" applyNumberFormat="1" applyFont="1" applyFill="1" applyBorder="1" applyAlignment="1">
      <alignment horizontal="center" vertical="center" wrapText="1"/>
    </xf>
    <xf numFmtId="0" fontId="1" fillId="0" borderId="12" xfId="0" applyFont="1" applyBorder="1"/>
    <xf numFmtId="0" fontId="1" fillId="0" borderId="13" xfId="0" applyFont="1" applyBorder="1"/>
    <xf numFmtId="0" fontId="1" fillId="0" borderId="22" xfId="0" applyFont="1" applyBorder="1"/>
    <xf numFmtId="3" fontId="32" fillId="0" borderId="0" xfId="0" applyNumberFormat="1" applyFont="1" applyFill="1" applyAlignment="1">
      <alignment horizontal="left" vertical="top" wrapText="1"/>
    </xf>
    <xf numFmtId="0" fontId="21" fillId="2" borderId="1" xfId="0" applyFont="1" applyFill="1" applyBorder="1" applyAlignment="1">
      <alignment horizontal="center"/>
    </xf>
    <xf numFmtId="0" fontId="21" fillId="2" borderId="2" xfId="0" applyFont="1" applyFill="1" applyBorder="1" applyAlignment="1">
      <alignment horizontal="center"/>
    </xf>
    <xf numFmtId="0" fontId="21" fillId="2" borderId="17" xfId="0" applyFont="1" applyFill="1" applyBorder="1" applyAlignment="1">
      <alignment horizontal="center"/>
    </xf>
    <xf numFmtId="3" fontId="1" fillId="0" borderId="0" xfId="0" applyNumberFormat="1" applyFont="1" applyAlignment="1">
      <alignment horizontal="left" vertical="center" wrapText="1"/>
    </xf>
    <xf numFmtId="169" fontId="21" fillId="0" borderId="0" xfId="0" applyNumberFormat="1" applyFont="1" applyAlignment="1">
      <alignment horizontal="left" vertical="center" wrapText="1"/>
    </xf>
    <xf numFmtId="3" fontId="21" fillId="0" borderId="0" xfId="0" applyNumberFormat="1" applyFont="1" applyAlignment="1">
      <alignment horizontal="left" vertical="top" wrapText="1"/>
    </xf>
    <xf numFmtId="171" fontId="1" fillId="0" borderId="1" xfId="2" applyNumberFormat="1" applyFont="1" applyFill="1" applyBorder="1" applyAlignment="1">
      <alignment horizontal="center"/>
    </xf>
    <xf numFmtId="171" fontId="1" fillId="0" borderId="17" xfId="2" applyNumberFormat="1" applyFont="1" applyFill="1" applyBorder="1" applyAlignment="1">
      <alignment horizontal="center"/>
    </xf>
    <xf numFmtId="0" fontId="21" fillId="0" borderId="0" xfId="0" applyFont="1" applyAlignment="1">
      <alignment horizontal="left" vertical="center"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180" fontId="1" fillId="0" borderId="10" xfId="2" applyNumberFormat="1" applyFont="1" applyFill="1" applyBorder="1" applyAlignment="1">
      <alignment horizontal="center"/>
    </xf>
    <xf numFmtId="180" fontId="1" fillId="0" borderId="5" xfId="2" applyNumberFormat="1" applyFont="1" applyFill="1" applyBorder="1" applyAlignment="1">
      <alignment horizontal="center"/>
    </xf>
    <xf numFmtId="180" fontId="1" fillId="0" borderId="3" xfId="2" applyNumberFormat="1" applyFont="1" applyFill="1" applyBorder="1" applyAlignment="1">
      <alignment horizontal="center"/>
    </xf>
    <xf numFmtId="180" fontId="1" fillId="0" borderId="6" xfId="2" applyNumberFormat="1" applyFont="1" applyFill="1" applyBorder="1" applyAlignment="1">
      <alignment horizontal="center"/>
    </xf>
    <xf numFmtId="180" fontId="21" fillId="0" borderId="18" xfId="0" applyNumberFormat="1" applyFont="1" applyBorder="1" applyAlignment="1">
      <alignment horizontal="center" wrapText="1"/>
    </xf>
    <xf numFmtId="180" fontId="21" fillId="0" borderId="20" xfId="0" applyNumberFormat="1" applyFont="1" applyBorder="1" applyAlignment="1">
      <alignment horizontal="center" wrapText="1"/>
    </xf>
    <xf numFmtId="0" fontId="1" fillId="0" borderId="10" xfId="0" applyFont="1" applyBorder="1"/>
    <xf numFmtId="0" fontId="1" fillId="0" borderId="11" xfId="0" applyFont="1" applyBorder="1"/>
    <xf numFmtId="0" fontId="1" fillId="0" borderId="5" xfId="0" applyFont="1" applyBorder="1"/>
    <xf numFmtId="0" fontId="1" fillId="0" borderId="3" xfId="0" applyFont="1" applyBorder="1"/>
    <xf numFmtId="0" fontId="1" fillId="0" borderId="0" xfId="0" applyFont="1" applyBorder="1"/>
    <xf numFmtId="0" fontId="1" fillId="0" borderId="6" xfId="0" applyFont="1" applyBorder="1"/>
    <xf numFmtId="0" fontId="1" fillId="5" borderId="3" xfId="0" applyFont="1" applyFill="1" applyBorder="1"/>
    <xf numFmtId="0" fontId="1" fillId="5" borderId="0" xfId="0" applyFont="1" applyFill="1" applyBorder="1"/>
    <xf numFmtId="0" fontId="1" fillId="5" borderId="6" xfId="0" applyFont="1" applyFill="1" applyBorder="1"/>
    <xf numFmtId="0" fontId="1" fillId="0" borderId="0" xfId="11" applyFont="1"/>
    <xf numFmtId="169" fontId="21" fillId="2" borderId="14" xfId="0" applyNumberFormat="1" applyFont="1" applyFill="1" applyBorder="1" applyAlignment="1">
      <alignment horizontal="center" vertical="center" wrapText="1"/>
    </xf>
    <xf numFmtId="169" fontId="21" fillId="2" borderId="15" xfId="0" applyNumberFormat="1" applyFont="1" applyFill="1" applyBorder="1" applyAlignment="1">
      <alignment horizontal="center" vertical="center" wrapText="1"/>
    </xf>
    <xf numFmtId="169" fontId="21" fillId="2" borderId="16" xfId="0" applyNumberFormat="1" applyFont="1" applyFill="1" applyBorder="1" applyAlignment="1">
      <alignment horizontal="center" vertical="center" wrapText="1"/>
    </xf>
    <xf numFmtId="169" fontId="1" fillId="0" borderId="10" xfId="0" applyNumberFormat="1" applyFont="1" applyBorder="1" applyAlignment="1">
      <alignment horizontal="left" vertical="center" wrapText="1"/>
    </xf>
    <xf numFmtId="169" fontId="1" fillId="0" borderId="11" xfId="0" applyNumberFormat="1" applyFont="1" applyBorder="1" applyAlignment="1">
      <alignment horizontal="left" vertical="center" wrapText="1"/>
    </xf>
    <xf numFmtId="169" fontId="1" fillId="0" borderId="5" xfId="0" applyNumberFormat="1" applyFont="1" applyBorder="1" applyAlignment="1">
      <alignment horizontal="left" vertical="center" wrapText="1"/>
    </xf>
    <xf numFmtId="169" fontId="1" fillId="0" borderId="12" xfId="0" applyNumberFormat="1" applyFont="1" applyBorder="1" applyAlignment="1">
      <alignment horizontal="left" vertical="center" wrapText="1"/>
    </xf>
    <xf numFmtId="169" fontId="1" fillId="0" borderId="13" xfId="0" applyNumberFormat="1" applyFont="1" applyBorder="1" applyAlignment="1">
      <alignment horizontal="left" vertical="center" wrapText="1"/>
    </xf>
    <xf numFmtId="169" fontId="1" fillId="0" borderId="22" xfId="0" applyNumberFormat="1" applyFont="1" applyBorder="1" applyAlignment="1">
      <alignment horizontal="left" vertical="center" wrapText="1"/>
    </xf>
    <xf numFmtId="169" fontId="21" fillId="0" borderId="7" xfId="0" applyNumberFormat="1" applyFont="1" applyBorder="1" applyAlignment="1">
      <alignment horizontal="right" vertical="center" wrapText="1"/>
    </xf>
    <xf numFmtId="169" fontId="21" fillId="0" borderId="9" xfId="0" applyNumberFormat="1" applyFont="1" applyBorder="1" applyAlignment="1">
      <alignment horizontal="right" vertical="center" wrapText="1"/>
    </xf>
    <xf numFmtId="0" fontId="1" fillId="5" borderId="3" xfId="0" applyFont="1" applyFill="1" applyBorder="1" applyAlignment="1">
      <alignment horizontal="left" vertical="center" wrapText="1"/>
    </xf>
    <xf numFmtId="0" fontId="1" fillId="5" borderId="0" xfId="0" applyFont="1" applyFill="1" applyBorder="1" applyAlignment="1">
      <alignment horizontal="left" vertical="center" wrapText="1"/>
    </xf>
    <xf numFmtId="0" fontId="21" fillId="0" borderId="1" xfId="0" applyFont="1" applyBorder="1"/>
    <xf numFmtId="0" fontId="21" fillId="0" borderId="2" xfId="0" applyFont="1" applyBorder="1"/>
    <xf numFmtId="0" fontId="21" fillId="0" borderId="17" xfId="0" applyFont="1" applyBorder="1"/>
    <xf numFmtId="0" fontId="21" fillId="0" borderId="2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4" xfId="0" applyFont="1" applyBorder="1" applyAlignment="1">
      <alignment horizontal="center" vertical="center"/>
    </xf>
    <xf numFmtId="0" fontId="21" fillId="0" borderId="27" xfId="0" applyFont="1" applyBorder="1" applyAlignment="1">
      <alignment horizontal="center" vertical="center"/>
    </xf>
    <xf numFmtId="0" fontId="21" fillId="0" borderId="25"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8" fillId="0" borderId="0" xfId="0" applyFont="1" applyAlignment="1">
      <alignment horizontal="center"/>
    </xf>
    <xf numFmtId="0" fontId="1" fillId="0" borderId="3" xfId="0" applyFont="1" applyBorder="1" applyAlignment="1">
      <alignment horizontal="left" vertical="center"/>
    </xf>
    <xf numFmtId="0" fontId="1" fillId="0" borderId="0"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1" fillId="0" borderId="24" xfId="0" applyFont="1" applyBorder="1" applyAlignment="1">
      <alignment horizontal="center" vertical="center" wrapText="1"/>
    </xf>
    <xf numFmtId="169" fontId="21" fillId="2" borderId="14" xfId="0" applyNumberFormat="1" applyFont="1" applyFill="1" applyBorder="1" applyAlignment="1">
      <alignment horizontal="center" vertical="center"/>
    </xf>
    <xf numFmtId="169" fontId="21" fillId="2" borderId="15" xfId="0" applyNumberFormat="1" applyFont="1" applyFill="1" applyBorder="1" applyAlignment="1">
      <alignment horizontal="center" vertical="center"/>
    </xf>
    <xf numFmtId="169" fontId="21" fillId="2" borderId="16" xfId="0" applyNumberFormat="1" applyFont="1" applyFill="1" applyBorder="1" applyAlignment="1">
      <alignment horizontal="center" vertical="center"/>
    </xf>
    <xf numFmtId="0" fontId="21" fillId="0" borderId="27"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3" fontId="21" fillId="2" borderId="0" xfId="0" applyNumberFormat="1" applyFont="1" applyFill="1" applyBorder="1" applyAlignment="1">
      <alignment horizontal="center" vertical="center"/>
    </xf>
    <xf numFmtId="0" fontId="1" fillId="0" borderId="7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4" xfId="0" applyFont="1" applyBorder="1" applyAlignment="1">
      <alignment horizontal="center" wrapText="1"/>
    </xf>
    <xf numFmtId="0" fontId="1" fillId="0" borderId="16" xfId="0" applyFont="1" applyBorder="1" applyAlignment="1">
      <alignment horizontal="center" wrapText="1"/>
    </xf>
    <xf numFmtId="0" fontId="21" fillId="0" borderId="28"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80" xfId="0" applyFont="1" applyBorder="1" applyAlignment="1">
      <alignment horizontal="center" vertical="center" wrapText="1"/>
    </xf>
    <xf numFmtId="0" fontId="21" fillId="0" borderId="4" xfId="0" applyFont="1" applyBorder="1" applyAlignment="1">
      <alignment horizontal="center"/>
    </xf>
    <xf numFmtId="0" fontId="21" fillId="0" borderId="1" xfId="0" applyFont="1" applyBorder="1" applyAlignment="1">
      <alignment horizontal="center"/>
    </xf>
    <xf numFmtId="0" fontId="21" fillId="0" borderId="2" xfId="0" applyFont="1" applyBorder="1" applyAlignment="1">
      <alignment horizontal="center"/>
    </xf>
    <xf numFmtId="0" fontId="21" fillId="0" borderId="17" xfId="0" applyFont="1" applyBorder="1" applyAlignment="1">
      <alignment horizontal="center"/>
    </xf>
    <xf numFmtId="169" fontId="21" fillId="0" borderId="1" xfId="0" applyNumberFormat="1" applyFont="1" applyBorder="1" applyAlignment="1">
      <alignment horizontal="center" vertical="center" wrapText="1"/>
    </xf>
    <xf numFmtId="169" fontId="21" fillId="0" borderId="17" xfId="0" applyNumberFormat="1" applyFont="1" applyBorder="1" applyAlignment="1">
      <alignment horizontal="center" vertical="center" wrapText="1"/>
    </xf>
    <xf numFmtId="3" fontId="1" fillId="0" borderId="0" xfId="8" applyNumberFormat="1" applyFont="1" applyAlignment="1">
      <alignment horizontal="left" vertical="center"/>
    </xf>
    <xf numFmtId="3" fontId="1" fillId="0" borderId="1" xfId="8" applyNumberFormat="1" applyFont="1" applyBorder="1" applyAlignment="1">
      <alignment horizontal="center"/>
    </xf>
    <xf numFmtId="3" fontId="1" fillId="0" borderId="17" xfId="8" applyNumberFormat="1" applyFont="1" applyBorder="1" applyAlignment="1">
      <alignment horizontal="center"/>
    </xf>
    <xf numFmtId="3" fontId="1" fillId="0" borderId="4" xfId="8" applyNumberFormat="1" applyFont="1" applyBorder="1" applyAlignment="1">
      <alignment horizontal="center"/>
    </xf>
    <xf numFmtId="3" fontId="1" fillId="0" borderId="1" xfId="1" quotePrefix="1" applyNumberFormat="1" applyFont="1" applyBorder="1" applyAlignment="1">
      <alignment horizontal="center"/>
    </xf>
    <xf numFmtId="3" fontId="1" fillId="0" borderId="17" xfId="1" quotePrefix="1" applyNumberFormat="1" applyFont="1" applyBorder="1" applyAlignment="1">
      <alignment horizontal="center"/>
    </xf>
    <xf numFmtId="3" fontId="1" fillId="0" borderId="1" xfId="1" applyNumberFormat="1" applyFont="1" applyBorder="1" applyAlignment="1">
      <alignment horizontal="center"/>
    </xf>
    <xf numFmtId="3" fontId="1" fillId="0" borderId="2" xfId="1" applyNumberFormat="1" applyFont="1" applyBorder="1" applyAlignment="1">
      <alignment horizontal="center"/>
    </xf>
    <xf numFmtId="3" fontId="1" fillId="0" borderId="17" xfId="1" applyNumberFormat="1" applyFont="1" applyBorder="1" applyAlignment="1">
      <alignment horizontal="center"/>
    </xf>
    <xf numFmtId="3" fontId="21" fillId="0" borderId="4" xfId="1" applyNumberFormat="1" applyFont="1" applyBorder="1" applyAlignment="1">
      <alignment horizontal="center" vertical="center" wrapText="1"/>
    </xf>
    <xf numFmtId="3" fontId="21" fillId="10" borderId="4" xfId="1" applyNumberFormat="1" applyFont="1" applyFill="1" applyBorder="1" applyAlignment="1">
      <alignment horizontal="center" vertical="center" wrapText="1"/>
    </xf>
    <xf numFmtId="3" fontId="21" fillId="0" borderId="1" xfId="1" applyNumberFormat="1" applyFont="1" applyBorder="1" applyAlignment="1">
      <alignment horizontal="center" vertical="center" wrapText="1"/>
    </xf>
    <xf numFmtId="3" fontId="21" fillId="0" borderId="17" xfId="1" applyNumberFormat="1" applyFont="1" applyBorder="1" applyAlignment="1">
      <alignment horizontal="center" vertical="center" wrapText="1"/>
    </xf>
    <xf numFmtId="3" fontId="21" fillId="0" borderId="1" xfId="8" applyNumberFormat="1" applyFont="1" applyBorder="1" applyAlignment="1">
      <alignment horizontal="center" vertical="center"/>
    </xf>
    <xf numFmtId="3" fontId="21" fillId="0" borderId="2" xfId="8" applyNumberFormat="1" applyFont="1" applyBorder="1" applyAlignment="1">
      <alignment horizontal="center" vertical="center"/>
    </xf>
    <xf numFmtId="3" fontId="21" fillId="0" borderId="17" xfId="8" applyNumberFormat="1" applyFont="1" applyBorder="1" applyAlignment="1">
      <alignment horizontal="center" vertical="center"/>
    </xf>
    <xf numFmtId="3" fontId="21" fillId="0" borderId="4" xfId="1" applyNumberFormat="1" applyFont="1" applyBorder="1" applyAlignment="1">
      <alignment horizontal="center"/>
    </xf>
    <xf numFmtId="3" fontId="21" fillId="10" borderId="7" xfId="1" applyNumberFormat="1" applyFont="1" applyFill="1" applyBorder="1" applyAlignment="1">
      <alignment horizontal="center" vertical="center" wrapText="1"/>
    </xf>
    <xf numFmtId="3" fontId="21" fillId="10" borderId="8" xfId="1" applyNumberFormat="1" applyFont="1" applyFill="1" applyBorder="1" applyAlignment="1">
      <alignment horizontal="center" vertical="center" wrapText="1"/>
    </xf>
    <xf numFmtId="3" fontId="21" fillId="10" borderId="9" xfId="1" applyNumberFormat="1" applyFont="1" applyFill="1" applyBorder="1" applyAlignment="1">
      <alignment horizontal="center" vertical="center" wrapText="1"/>
    </xf>
    <xf numFmtId="3" fontId="21" fillId="0" borderId="7" xfId="1" applyNumberFormat="1" applyFont="1" applyBorder="1" applyAlignment="1">
      <alignment horizontal="center" vertical="center" wrapText="1"/>
    </xf>
    <xf numFmtId="3" fontId="21" fillId="0" borderId="8" xfId="1" applyNumberFormat="1" applyFont="1" applyBorder="1" applyAlignment="1">
      <alignment horizontal="center" vertical="center" wrapText="1"/>
    </xf>
    <xf numFmtId="3" fontId="21" fillId="0" borderId="9" xfId="1" applyNumberFormat="1" applyFont="1" applyBorder="1" applyAlignment="1">
      <alignment horizontal="center" vertical="center" wrapText="1"/>
    </xf>
    <xf numFmtId="3" fontId="21" fillId="0" borderId="5" xfId="1" applyNumberFormat="1" applyFont="1" applyBorder="1" applyAlignment="1">
      <alignment horizontal="center" vertical="center" wrapText="1"/>
    </xf>
    <xf numFmtId="3" fontId="21" fillId="0" borderId="6" xfId="1" applyNumberFormat="1" applyFont="1" applyBorder="1" applyAlignment="1">
      <alignment horizontal="center" vertical="center" wrapText="1"/>
    </xf>
    <xf numFmtId="3" fontId="21" fillId="0" borderId="22" xfId="1" applyNumberFormat="1" applyFont="1" applyBorder="1" applyAlignment="1">
      <alignment horizontal="center" vertical="center" wrapText="1"/>
    </xf>
    <xf numFmtId="3" fontId="21" fillId="0" borderId="10" xfId="1" applyNumberFormat="1" applyFont="1" applyBorder="1" applyAlignment="1">
      <alignment horizontal="center" vertical="center" wrapText="1"/>
    </xf>
    <xf numFmtId="3" fontId="21" fillId="0" borderId="3" xfId="1" applyNumberFormat="1" applyFont="1" applyBorder="1" applyAlignment="1">
      <alignment horizontal="center" vertical="center" wrapText="1"/>
    </xf>
    <xf numFmtId="3" fontId="21" fillId="0" borderId="12" xfId="1" applyNumberFormat="1" applyFont="1" applyBorder="1" applyAlignment="1">
      <alignment horizontal="center" vertical="center" wrapText="1"/>
    </xf>
    <xf numFmtId="3" fontId="21" fillId="10" borderId="1" xfId="1" applyNumberFormat="1" applyFont="1" applyFill="1" applyBorder="1" applyAlignment="1">
      <alignment horizontal="center" vertical="center" wrapText="1"/>
    </xf>
    <xf numFmtId="3" fontId="21" fillId="10" borderId="2" xfId="1" applyNumberFormat="1" applyFont="1" applyFill="1" applyBorder="1" applyAlignment="1">
      <alignment horizontal="center" vertical="center" wrapText="1"/>
    </xf>
    <xf numFmtId="3" fontId="21" fillId="10" borderId="17" xfId="1" applyNumberFormat="1" applyFont="1" applyFill="1" applyBorder="1" applyAlignment="1">
      <alignment horizontal="center" vertical="center" wrapText="1"/>
    </xf>
    <xf numFmtId="3" fontId="21" fillId="0" borderId="1" xfId="1" applyNumberFormat="1" applyFont="1" applyBorder="1" applyAlignment="1">
      <alignment horizontal="center" vertical="center"/>
    </xf>
    <xf numFmtId="3" fontId="21" fillId="0" borderId="2" xfId="1" applyNumberFormat="1" applyFont="1" applyBorder="1" applyAlignment="1">
      <alignment horizontal="center" vertical="center"/>
    </xf>
    <xf numFmtId="3" fontId="21" fillId="0" borderId="2" xfId="1" applyNumberFormat="1" applyFont="1" applyBorder="1" applyAlignment="1">
      <alignment horizontal="center" vertical="center" wrapText="1"/>
    </xf>
    <xf numFmtId="3" fontId="21" fillId="0" borderId="4" xfId="1" applyNumberFormat="1" applyFont="1" applyFill="1" applyBorder="1" applyAlignment="1">
      <alignment horizontal="center" vertical="center" wrapText="1"/>
    </xf>
    <xf numFmtId="3" fontId="21" fillId="0" borderId="7" xfId="1" applyNumberFormat="1" applyFont="1" applyFill="1" applyBorder="1" applyAlignment="1">
      <alignment horizontal="center" vertical="center" wrapText="1"/>
    </xf>
    <xf numFmtId="3" fontId="21" fillId="0" borderId="8" xfId="1" applyNumberFormat="1" applyFont="1" applyFill="1" applyBorder="1" applyAlignment="1">
      <alignment horizontal="center" vertical="center" wrapText="1"/>
    </xf>
    <xf numFmtId="3" fontId="21" fillId="0" borderId="9" xfId="1" applyNumberFormat="1" applyFont="1" applyFill="1" applyBorder="1" applyAlignment="1">
      <alignment horizontal="center" vertical="center" wrapText="1"/>
    </xf>
    <xf numFmtId="3" fontId="21" fillId="5" borderId="5" xfId="1" applyNumberFormat="1" applyFont="1" applyFill="1" applyBorder="1" applyAlignment="1">
      <alignment horizontal="center" vertical="center" wrapText="1"/>
    </xf>
    <xf numFmtId="3" fontId="21" fillId="5" borderId="6" xfId="1" applyNumberFormat="1" applyFont="1" applyFill="1" applyBorder="1" applyAlignment="1">
      <alignment horizontal="center" vertical="center" wrapText="1"/>
    </xf>
    <xf numFmtId="3" fontId="21" fillId="5" borderId="22" xfId="1" applyNumberFormat="1" applyFont="1" applyFill="1" applyBorder="1" applyAlignment="1">
      <alignment horizontal="center" vertical="center" wrapText="1"/>
    </xf>
    <xf numFmtId="3" fontId="21" fillId="5" borderId="10" xfId="1" applyNumberFormat="1" applyFont="1" applyFill="1" applyBorder="1" applyAlignment="1">
      <alignment horizontal="center" vertical="center" wrapText="1"/>
    </xf>
    <xf numFmtId="3" fontId="21" fillId="5" borderId="3" xfId="1" applyNumberFormat="1" applyFont="1" applyFill="1" applyBorder="1" applyAlignment="1">
      <alignment horizontal="center" vertical="center" wrapText="1"/>
    </xf>
    <xf numFmtId="3" fontId="21" fillId="5" borderId="12" xfId="1" applyNumberFormat="1" applyFont="1" applyFill="1" applyBorder="1" applyAlignment="1">
      <alignment horizontal="center" vertical="center" wrapText="1"/>
    </xf>
    <xf numFmtId="3" fontId="21" fillId="5" borderId="1" xfId="1" applyNumberFormat="1" applyFont="1" applyFill="1" applyBorder="1" applyAlignment="1">
      <alignment horizontal="center" vertical="center"/>
    </xf>
    <xf numFmtId="3" fontId="21" fillId="5" borderId="2" xfId="1" applyNumberFormat="1" applyFont="1" applyFill="1" applyBorder="1" applyAlignment="1">
      <alignment horizontal="center" vertical="center"/>
    </xf>
    <xf numFmtId="3" fontId="26" fillId="0" borderId="0" xfId="1" applyNumberFormat="1" applyFont="1" applyAlignment="1">
      <alignment horizontal="center" vertical="center" wrapText="1"/>
    </xf>
    <xf numFmtId="169" fontId="21" fillId="0" borderId="7" xfId="1" applyNumberFormat="1" applyFont="1" applyBorder="1" applyAlignment="1">
      <alignment horizontal="center" vertical="center" wrapText="1"/>
    </xf>
    <xf numFmtId="169" fontId="21" fillId="0" borderId="8" xfId="1" applyNumberFormat="1" applyFont="1" applyBorder="1" applyAlignment="1">
      <alignment horizontal="center" vertical="center" wrapText="1"/>
    </xf>
    <xf numFmtId="169" fontId="21" fillId="0" borderId="1" xfId="1" applyNumberFormat="1" applyFont="1" applyBorder="1" applyAlignment="1">
      <alignment horizontal="center" vertical="center" wrapText="1"/>
    </xf>
    <xf numFmtId="169" fontId="21" fillId="0" borderId="17" xfId="1" applyNumberFormat="1" applyFont="1" applyBorder="1" applyAlignment="1">
      <alignment horizontal="center" vertical="center" wrapText="1"/>
    </xf>
    <xf numFmtId="169" fontId="21" fillId="0" borderId="4" xfId="1" applyNumberFormat="1" applyFont="1" applyBorder="1" applyAlignment="1">
      <alignment horizontal="center" vertical="center" wrapText="1"/>
    </xf>
    <xf numFmtId="169" fontId="21" fillId="5" borderId="7" xfId="1" applyNumberFormat="1" applyFont="1" applyFill="1" applyBorder="1" applyAlignment="1">
      <alignment horizontal="center" vertical="center" wrapText="1"/>
    </xf>
    <xf numFmtId="169" fontId="21" fillId="5" borderId="8" xfId="1" applyNumberFormat="1" applyFont="1" applyFill="1" applyBorder="1" applyAlignment="1">
      <alignment horizontal="center" vertical="center" wrapText="1"/>
    </xf>
    <xf numFmtId="169" fontId="21" fillId="0" borderId="2" xfId="1"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6"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5" borderId="22" xfId="0" applyFont="1" applyFill="1" applyBorder="1" applyAlignment="1">
      <alignment horizontal="center" vertical="center" wrapText="1"/>
    </xf>
    <xf numFmtId="169" fontId="21" fillId="10" borderId="1" xfId="1" applyNumberFormat="1" applyFont="1" applyFill="1" applyBorder="1" applyAlignment="1">
      <alignment horizontal="center" vertical="center" wrapText="1"/>
    </xf>
    <xf numFmtId="169" fontId="21" fillId="10" borderId="2" xfId="1" applyNumberFormat="1" applyFont="1" applyFill="1" applyBorder="1" applyAlignment="1">
      <alignment horizontal="center" vertical="center" wrapText="1"/>
    </xf>
    <xf numFmtId="169" fontId="21" fillId="10" borderId="17" xfId="1" applyNumberFormat="1" applyFont="1" applyFill="1" applyBorder="1" applyAlignment="1">
      <alignment horizontal="center" vertical="center" wrapText="1"/>
    </xf>
    <xf numFmtId="0" fontId="1" fillId="0" borderId="0" xfId="0" applyFont="1" applyAlignment="1">
      <alignment horizontal="left" vertical="top" wrapText="1"/>
    </xf>
    <xf numFmtId="0" fontId="21" fillId="0" borderId="11" xfId="0" applyFont="1" applyBorder="1" applyAlignment="1">
      <alignment horizontal="center" vertical="center" wrapText="1"/>
    </xf>
    <xf numFmtId="169" fontId="21" fillId="5" borderId="1" xfId="1" applyNumberFormat="1" applyFont="1" applyFill="1" applyBorder="1" applyAlignment="1">
      <alignment horizontal="center" vertical="center"/>
    </xf>
    <xf numFmtId="169" fontId="21" fillId="5" borderId="2" xfId="1" applyNumberFormat="1" applyFont="1" applyFill="1" applyBorder="1" applyAlignment="1">
      <alignment horizontal="center" vertical="center"/>
    </xf>
    <xf numFmtId="169" fontId="21" fillId="5" borderId="10" xfId="1" applyNumberFormat="1" applyFont="1" applyFill="1" applyBorder="1" applyAlignment="1">
      <alignment horizontal="center" vertical="center" wrapText="1"/>
    </xf>
    <xf numFmtId="169" fontId="21" fillId="5" borderId="5" xfId="1" applyNumberFormat="1"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179" fontId="11" fillId="5" borderId="2" xfId="3" applyNumberFormat="1" applyFont="1" applyFill="1" applyBorder="1" applyAlignment="1">
      <alignment horizontal="center"/>
    </xf>
    <xf numFmtId="0" fontId="4" fillId="5" borderId="46" xfId="0" applyFont="1" applyFill="1" applyBorder="1" applyAlignment="1">
      <alignment horizontal="left" vertical="center"/>
    </xf>
    <xf numFmtId="179" fontId="4" fillId="5" borderId="46" xfId="3" applyNumberFormat="1" applyFont="1" applyFill="1" applyBorder="1" applyAlignment="1">
      <alignment horizontal="center"/>
    </xf>
    <xf numFmtId="0" fontId="4" fillId="5" borderId="45" xfId="0" applyFont="1" applyFill="1" applyBorder="1" applyAlignment="1">
      <alignment horizontal="left" vertical="center" wrapText="1"/>
    </xf>
    <xf numFmtId="0" fontId="4" fillId="5" borderId="46" xfId="0" applyFont="1" applyFill="1" applyBorder="1" applyAlignment="1">
      <alignment horizontal="left" vertical="center" wrapText="1"/>
    </xf>
    <xf numFmtId="179" fontId="4" fillId="5" borderId="49" xfId="3" applyNumberFormat="1" applyFont="1" applyFill="1" applyBorder="1" applyAlignment="1">
      <alignment horizontal="center"/>
    </xf>
    <xf numFmtId="0" fontId="4" fillId="5" borderId="47" xfId="0" applyFont="1" applyFill="1" applyBorder="1" applyAlignment="1">
      <alignment horizontal="left" vertical="center" wrapText="1"/>
    </xf>
    <xf numFmtId="179" fontId="4" fillId="5" borderId="47" xfId="3" applyNumberFormat="1" applyFont="1" applyFill="1" applyBorder="1" applyAlignment="1">
      <alignment horizont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3" xfId="0" applyFont="1" applyFill="1" applyBorder="1" applyAlignment="1">
      <alignment horizontal="center" vertical="center"/>
    </xf>
    <xf numFmtId="0" fontId="11" fillId="4" borderId="26"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27"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5"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3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3" xfId="0" applyFont="1" applyFill="1" applyBorder="1" applyAlignment="1">
      <alignment horizontal="center" vertical="center" wrapText="1"/>
    </xf>
  </cellXfs>
  <cellStyles count="12">
    <cellStyle name="Comma 2" xfId="5"/>
    <cellStyle name="Millares" xfId="2" builtinId="3"/>
    <cellStyle name="Millares [0]" xfId="9" builtinId="6"/>
    <cellStyle name="Millares 3" xfId="7"/>
    <cellStyle name="Moneda" xfId="3" builtinId="4"/>
    <cellStyle name="Moneda [0]" xfId="10" builtinId="7"/>
    <cellStyle name="Normal" xfId="0" builtinId="0"/>
    <cellStyle name="Normal 2" xfId="1"/>
    <cellStyle name="Normal 2 2" xfId="6"/>
    <cellStyle name="Normal 2 2 3" xfId="11"/>
    <cellStyle name="Normal 2 3" xfId="8"/>
    <cellStyle name="Porcentaje" xfId="4" builtinId="5"/>
  </cellStyles>
  <dxfs count="0"/>
  <tableStyles count="0" defaultTableStyle="TableStyleMedium2"/>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547935</xdr:colOff>
      <xdr:row>51</xdr:row>
      <xdr:rowOff>8659</xdr:rowOff>
    </xdr:from>
    <xdr:to>
      <xdr:col>15</xdr:col>
      <xdr:colOff>71720</xdr:colOff>
      <xdr:row>56</xdr:row>
      <xdr:rowOff>67734</xdr:rowOff>
    </xdr:to>
    <xdr:sp macro="" textlink="">
      <xdr:nvSpPr>
        <xdr:cNvPr id="3" name="Speech Bubble: Rectangle 2">
          <a:extLst>
            <a:ext uri="{FF2B5EF4-FFF2-40B4-BE49-F238E27FC236}">
              <a16:creationId xmlns:a16="http://schemas.microsoft.com/office/drawing/2014/main" id="{00000000-0008-0000-0000-000003000000}"/>
            </a:ext>
          </a:extLst>
        </xdr:cNvPr>
        <xdr:cNvSpPr/>
      </xdr:nvSpPr>
      <xdr:spPr>
        <a:xfrm>
          <a:off x="12022759" y="9681577"/>
          <a:ext cx="2329737" cy="955545"/>
        </a:xfrm>
        <a:prstGeom prst="wedgeRectCallout">
          <a:avLst>
            <a:gd name="adj1" fmla="val -73231"/>
            <a:gd name="adj2" fmla="val -2134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Desde</a:t>
          </a:r>
          <a:r>
            <a:rPr lang="es-CL" sz="1000" baseline="0">
              <a:solidFill>
                <a:schemeClr val="tx1"/>
              </a:solidFill>
              <a:latin typeface="Arial"/>
            </a:rPr>
            <a:t> la tabla de amortización, proporcionada por el Banco, se extrajo que del total de la cuota pagada ($500.000) el monto de capital ascendía a $220.000 y los intereses a $280.000.</a:t>
          </a:r>
          <a:endParaRPr lang="es-CL" sz="1000">
            <a:solidFill>
              <a:schemeClr val="tx1"/>
            </a:solidFill>
            <a:latin typeface="Arial"/>
          </a:endParaRPr>
        </a:p>
      </xdr:txBody>
    </xdr:sp>
    <xdr:clientData/>
  </xdr:twoCellAnchor>
  <xdr:twoCellAnchor>
    <xdr:from>
      <xdr:col>7</xdr:col>
      <xdr:colOff>580157</xdr:colOff>
      <xdr:row>82</xdr:row>
      <xdr:rowOff>8467</xdr:rowOff>
    </xdr:from>
    <xdr:to>
      <xdr:col>10</xdr:col>
      <xdr:colOff>772582</xdr:colOff>
      <xdr:row>85</xdr:row>
      <xdr:rowOff>152400</xdr:rowOff>
    </xdr:to>
    <xdr:sp macro="" textlink="">
      <xdr:nvSpPr>
        <xdr:cNvPr id="6" name="Speech Bubble: Rectangle 5">
          <a:extLst>
            <a:ext uri="{FF2B5EF4-FFF2-40B4-BE49-F238E27FC236}">
              <a16:creationId xmlns:a16="http://schemas.microsoft.com/office/drawing/2014/main" id="{00000000-0008-0000-0000-000006000000}"/>
            </a:ext>
          </a:extLst>
        </xdr:cNvPr>
        <xdr:cNvSpPr/>
      </xdr:nvSpPr>
      <xdr:spPr>
        <a:xfrm>
          <a:off x="6337490" y="14719300"/>
          <a:ext cx="3505009" cy="651933"/>
        </a:xfrm>
        <a:prstGeom prst="wedgeRectCallout">
          <a:avLst>
            <a:gd name="adj1" fmla="val -64951"/>
            <a:gd name="adj2" fmla="val 8565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El monto del reajuste del PPM ascendió a $ 4.438 </a:t>
          </a:r>
          <a:r>
            <a:rPr lang="es-CL" sz="1000">
              <a:solidFill>
                <a:schemeClr val="tx1"/>
              </a:solidFill>
              <a:effectLst/>
              <a:latin typeface="Arial"/>
              <a:ea typeface="+mn-ea"/>
              <a:cs typeface="+mn-cs"/>
            </a:rPr>
            <a:t>($274.438. - $270.000)</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 al 31 de diciembre del 2021.</a:t>
          </a:r>
        </a:p>
      </xdr:txBody>
    </xdr:sp>
    <xdr:clientData/>
  </xdr:twoCellAnchor>
  <xdr:twoCellAnchor>
    <xdr:from>
      <xdr:col>12</xdr:col>
      <xdr:colOff>594784</xdr:colOff>
      <xdr:row>12</xdr:row>
      <xdr:rowOff>173693</xdr:rowOff>
    </xdr:from>
    <xdr:to>
      <xdr:col>16</xdr:col>
      <xdr:colOff>336177</xdr:colOff>
      <xdr:row>17</xdr:row>
      <xdr:rowOff>80434</xdr:rowOff>
    </xdr:to>
    <xdr:sp macro="" textlink="">
      <xdr:nvSpPr>
        <xdr:cNvPr id="8" name="Speech Bubble: Rectangle 4">
          <a:extLst>
            <a:ext uri="{FF2B5EF4-FFF2-40B4-BE49-F238E27FC236}">
              <a16:creationId xmlns:a16="http://schemas.microsoft.com/office/drawing/2014/main" id="{00000000-0008-0000-0000-000008000000}"/>
            </a:ext>
          </a:extLst>
        </xdr:cNvPr>
        <xdr:cNvSpPr/>
      </xdr:nvSpPr>
      <xdr:spPr>
        <a:xfrm>
          <a:off x="12629902" y="2594164"/>
          <a:ext cx="3260040" cy="881652"/>
        </a:xfrm>
        <a:prstGeom prst="wedgeRectCallout">
          <a:avLst>
            <a:gd name="adj1" fmla="val -99283"/>
            <a:gd name="adj2" fmla="val 14114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La</a:t>
          </a:r>
          <a:r>
            <a:rPr lang="es-CL" sz="1000" baseline="0">
              <a:solidFill>
                <a:schemeClr val="tx1"/>
              </a:solidFill>
              <a:latin typeface="Arial"/>
            </a:rPr>
            <a:t> norma señala que las ventas a un relacionado que tribute bajo las normas de la letra A) del artículo 14 de la LIR se reconocerán en el ejercicio de su devengo.</a:t>
          </a:r>
          <a:endParaRPr lang="es-CL" sz="1000">
            <a:solidFill>
              <a:schemeClr val="tx1"/>
            </a:solidFill>
            <a:latin typeface="Arial"/>
          </a:endParaRPr>
        </a:p>
      </xdr:txBody>
    </xdr:sp>
    <xdr:clientData/>
  </xdr:twoCellAnchor>
  <xdr:twoCellAnchor>
    <xdr:from>
      <xdr:col>12</xdr:col>
      <xdr:colOff>786901</xdr:colOff>
      <xdr:row>27</xdr:row>
      <xdr:rowOff>106952</xdr:rowOff>
    </xdr:from>
    <xdr:to>
      <xdr:col>16</xdr:col>
      <xdr:colOff>403411</xdr:colOff>
      <xdr:row>32</xdr:row>
      <xdr:rowOff>43454</xdr:rowOff>
    </xdr:to>
    <xdr:sp macro="" textlink="">
      <xdr:nvSpPr>
        <xdr:cNvPr id="11" name="Speech Bubble: Rectangle 4">
          <a:extLst>
            <a:ext uri="{FF2B5EF4-FFF2-40B4-BE49-F238E27FC236}">
              <a16:creationId xmlns:a16="http://schemas.microsoft.com/office/drawing/2014/main" id="{00000000-0008-0000-0000-00000B000000}"/>
            </a:ext>
          </a:extLst>
        </xdr:cNvPr>
        <xdr:cNvSpPr/>
      </xdr:nvSpPr>
      <xdr:spPr>
        <a:xfrm>
          <a:off x="12822019" y="5295276"/>
          <a:ext cx="3135157" cy="743325"/>
        </a:xfrm>
        <a:prstGeom prst="wedgeRectCallout">
          <a:avLst>
            <a:gd name="adj1" fmla="val -73186"/>
            <a:gd name="adj2" fmla="val 139156"/>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En</a:t>
          </a:r>
          <a:r>
            <a:rPr lang="es-CL" sz="1000" baseline="0">
              <a:solidFill>
                <a:schemeClr val="tx1"/>
              </a:solidFill>
              <a:latin typeface="Arial"/>
            </a:rPr>
            <a:t> el registro SAC los créditos por los dividendos percibidos se registran históricos, razón por la cual al extraer los créditos desde la DJ 1948 dicho crédito debe ser deflactado. </a:t>
          </a:r>
          <a:endParaRPr lang="es-CL" sz="1000">
            <a:solidFill>
              <a:schemeClr val="tx1"/>
            </a:solidFill>
            <a:latin typeface="Arial"/>
          </a:endParaRPr>
        </a:p>
      </xdr:txBody>
    </xdr:sp>
    <xdr:clientData/>
  </xdr:twoCellAnchor>
  <xdr:twoCellAnchor>
    <xdr:from>
      <xdr:col>12</xdr:col>
      <xdr:colOff>246404</xdr:colOff>
      <xdr:row>42</xdr:row>
      <xdr:rowOff>272926</xdr:rowOff>
    </xdr:from>
    <xdr:to>
      <xdr:col>14</xdr:col>
      <xdr:colOff>833719</xdr:colOff>
      <xdr:row>47</xdr:row>
      <xdr:rowOff>121446</xdr:rowOff>
    </xdr:to>
    <xdr:sp macro="" textlink="">
      <xdr:nvSpPr>
        <xdr:cNvPr id="15" name="Speech Bubble: Rectangle 17">
          <a:extLst>
            <a:ext uri="{FF2B5EF4-FFF2-40B4-BE49-F238E27FC236}">
              <a16:creationId xmlns:a16="http://schemas.microsoft.com/office/drawing/2014/main" id="{00000000-0008-0000-0000-00000F000000}"/>
            </a:ext>
          </a:extLst>
        </xdr:cNvPr>
        <xdr:cNvSpPr/>
      </xdr:nvSpPr>
      <xdr:spPr>
        <a:xfrm>
          <a:off x="11721228" y="8206691"/>
          <a:ext cx="2434044" cy="870496"/>
        </a:xfrm>
        <a:prstGeom prst="wedgeRectCallout">
          <a:avLst>
            <a:gd name="adj1" fmla="val -59646"/>
            <a:gd name="adj2" fmla="val 10890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Dado</a:t>
          </a:r>
          <a:r>
            <a:rPr lang="es-CL" sz="1000" baseline="0">
              <a:solidFill>
                <a:schemeClr val="tx1"/>
              </a:solidFill>
              <a:latin typeface="Arial"/>
            </a:rPr>
            <a:t> que </a:t>
          </a:r>
          <a:r>
            <a:rPr lang="es-CL" sz="1000" baseline="0">
              <a:solidFill>
                <a:schemeClr val="tx1"/>
              </a:solidFill>
              <a:latin typeface="Arial"/>
              <a:ea typeface="+mn-ea"/>
              <a:cs typeface="+mn-cs"/>
            </a:rPr>
            <a:t>corresponde a gastos, compras o servicios del año 2020 y éstos no fueron reconocidos como gasto en la BI en ese año, deben ser rebajados de la BI del año 2021.</a:t>
          </a:r>
        </a:p>
      </xdr:txBody>
    </xdr:sp>
    <xdr:clientData/>
  </xdr:twoCellAnchor>
  <xdr:twoCellAnchor>
    <xdr:from>
      <xdr:col>12</xdr:col>
      <xdr:colOff>620433</xdr:colOff>
      <xdr:row>20</xdr:row>
      <xdr:rowOff>62441</xdr:rowOff>
    </xdr:from>
    <xdr:to>
      <xdr:col>16</xdr:col>
      <xdr:colOff>302560</xdr:colOff>
      <xdr:row>24</xdr:row>
      <xdr:rowOff>10739</xdr:rowOff>
    </xdr:to>
    <xdr:sp macro="" textlink="">
      <xdr:nvSpPr>
        <xdr:cNvPr id="17" name="Speech Bubble: Rectangle 16">
          <a:extLst>
            <a:ext uri="{FF2B5EF4-FFF2-40B4-BE49-F238E27FC236}">
              <a16:creationId xmlns:a16="http://schemas.microsoft.com/office/drawing/2014/main" id="{00000000-0008-0000-0000-000011000000}"/>
            </a:ext>
          </a:extLst>
        </xdr:cNvPr>
        <xdr:cNvSpPr/>
      </xdr:nvSpPr>
      <xdr:spPr>
        <a:xfrm>
          <a:off x="12655551" y="4096559"/>
          <a:ext cx="3200774" cy="620651"/>
        </a:xfrm>
        <a:prstGeom prst="wedgeRectCallout">
          <a:avLst>
            <a:gd name="adj1" fmla="val -66828"/>
            <a:gd name="adj2" fmla="val 778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Ingreso devengado </a:t>
          </a:r>
          <a:r>
            <a:rPr lang="es-CL" sz="1000" baseline="0">
              <a:solidFill>
                <a:schemeClr val="tx1"/>
              </a:solidFill>
              <a:latin typeface="Arial"/>
            </a:rPr>
            <a:t>en el año 2020, el cual debe reconocerse en el año 2021 por haberse percibido.</a:t>
          </a:r>
          <a:endParaRPr lang="es-CL" sz="1000">
            <a:solidFill>
              <a:schemeClr val="tx1"/>
            </a:solidFill>
            <a:latin typeface="Arial"/>
          </a:endParaRPr>
        </a:p>
      </xdr:txBody>
    </xdr:sp>
    <xdr:clientData/>
  </xdr:twoCellAnchor>
  <xdr:twoCellAnchor>
    <xdr:from>
      <xdr:col>12</xdr:col>
      <xdr:colOff>493059</xdr:colOff>
      <xdr:row>9</xdr:row>
      <xdr:rowOff>89647</xdr:rowOff>
    </xdr:from>
    <xdr:to>
      <xdr:col>14</xdr:col>
      <xdr:colOff>818030</xdr:colOff>
      <xdr:row>12</xdr:row>
      <xdr:rowOff>11205</xdr:rowOff>
    </xdr:to>
    <xdr:sp macro="" textlink="">
      <xdr:nvSpPr>
        <xdr:cNvPr id="2" name="Bocadillo: rectángulo 1">
          <a:extLst>
            <a:ext uri="{FF2B5EF4-FFF2-40B4-BE49-F238E27FC236}">
              <a16:creationId xmlns:a16="http://schemas.microsoft.com/office/drawing/2014/main" id="{ED55A8D2-A314-41AD-9278-E808F4FFDCDC}"/>
            </a:ext>
          </a:extLst>
        </xdr:cNvPr>
        <xdr:cNvSpPr/>
      </xdr:nvSpPr>
      <xdr:spPr>
        <a:xfrm>
          <a:off x="11620500" y="1804147"/>
          <a:ext cx="2117912" cy="627529"/>
        </a:xfrm>
        <a:prstGeom prst="wedgeRectCallout">
          <a:avLst>
            <a:gd name="adj1" fmla="val -76388"/>
            <a:gd name="adj2" fmla="val -12500"/>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es-CL" sz="1000">
              <a:solidFill>
                <a:schemeClr val="tx1"/>
              </a:solidFill>
              <a:latin typeface="Arial"/>
            </a:rPr>
            <a:t>A</a:t>
          </a:r>
          <a:r>
            <a:rPr lang="es-CL" sz="1000" baseline="0">
              <a:solidFill>
                <a:schemeClr val="tx1"/>
              </a:solidFill>
              <a:latin typeface="Arial"/>
            </a:rPr>
            <a:t> partir del año comercial 2020 no se actualiza</a:t>
          </a:r>
          <a:endParaRPr lang="es-CL" sz="1000">
            <a:solidFill>
              <a:schemeClr val="tx1"/>
            </a:solidFill>
            <a:latin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63500</xdr:colOff>
      <xdr:row>13</xdr:row>
      <xdr:rowOff>154305</xdr:rowOff>
    </xdr:from>
    <xdr:to>
      <xdr:col>5</xdr:col>
      <xdr:colOff>35983</xdr:colOff>
      <xdr:row>17</xdr:row>
      <xdr:rowOff>12700</xdr:rowOff>
    </xdr:to>
    <xdr:sp macro="" textlink="">
      <xdr:nvSpPr>
        <xdr:cNvPr id="2" name="Speech Bubble: Rectangle 1">
          <a:extLst>
            <a:ext uri="{FF2B5EF4-FFF2-40B4-BE49-F238E27FC236}">
              <a16:creationId xmlns:a16="http://schemas.microsoft.com/office/drawing/2014/main" id="{00000000-0008-0000-0B00-000002000000}"/>
            </a:ext>
          </a:extLst>
        </xdr:cNvPr>
        <xdr:cNvSpPr/>
      </xdr:nvSpPr>
      <xdr:spPr>
        <a:xfrm>
          <a:off x="2171700" y="3367405"/>
          <a:ext cx="2855383" cy="582295"/>
        </a:xfrm>
        <a:prstGeom prst="wedgeRectCallout">
          <a:avLst>
            <a:gd name="adj1" fmla="val -45327"/>
            <a:gd name="adj2" fmla="val -9785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L" sz="1000">
              <a:solidFill>
                <a:schemeClr val="tx1"/>
              </a:solidFill>
              <a:latin typeface="Arial"/>
            </a:rPr>
            <a:t>Tanto</a:t>
          </a:r>
          <a:r>
            <a:rPr lang="es-CL" sz="1000" baseline="0">
              <a:solidFill>
                <a:schemeClr val="tx1"/>
              </a:solidFill>
              <a:latin typeface="Arial"/>
            </a:rPr>
            <a:t> las rentas afectas a impuestos finales como los créditos asociados deben ser informados actualizados en la DJ F-1948. </a:t>
          </a:r>
          <a:endParaRPr lang="es-CL" sz="1000">
            <a:solidFill>
              <a:schemeClr val="tx1"/>
            </a:solidFill>
            <a:latin typeface="Aria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152400</xdr:rowOff>
    </xdr:from>
    <xdr:to>
      <xdr:col>2</xdr:col>
      <xdr:colOff>361950</xdr:colOff>
      <xdr:row>3</xdr:row>
      <xdr:rowOff>133350</xdr:rowOff>
    </xdr:to>
    <xdr:pic>
      <xdr:nvPicPr>
        <xdr:cNvPr id="2" name="Imagen 1" descr="cid:image001.png@01CFC04E.66BC1CE0">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142875</xdr:colOff>
      <xdr:row>71</xdr:row>
      <xdr:rowOff>161925</xdr:rowOff>
    </xdr:from>
    <xdr:to>
      <xdr:col>14</xdr:col>
      <xdr:colOff>561975</xdr:colOff>
      <xdr:row>73</xdr:row>
      <xdr:rowOff>9525</xdr:rowOff>
    </xdr:to>
    <xdr:sp macro="" textlink="">
      <xdr:nvSpPr>
        <xdr:cNvPr id="2" name="Arrow: Left-Right 1">
          <a:extLst>
            <a:ext uri="{FF2B5EF4-FFF2-40B4-BE49-F238E27FC236}">
              <a16:creationId xmlns:a16="http://schemas.microsoft.com/office/drawing/2014/main" id="{00000000-0008-0000-0E00-000002000000}"/>
            </a:ext>
          </a:extLst>
        </xdr:cNvPr>
        <xdr:cNvSpPr/>
      </xdr:nvSpPr>
      <xdr:spPr>
        <a:xfrm rot="19076140">
          <a:off x="8686800" y="11982450"/>
          <a:ext cx="419100" cy="228600"/>
        </a:xfrm>
        <a:prstGeom prst="lef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14</xdr:col>
      <xdr:colOff>142875</xdr:colOff>
      <xdr:row>50</xdr:row>
      <xdr:rowOff>161925</xdr:rowOff>
    </xdr:from>
    <xdr:to>
      <xdr:col>14</xdr:col>
      <xdr:colOff>561975</xdr:colOff>
      <xdr:row>52</xdr:row>
      <xdr:rowOff>9525</xdr:rowOff>
    </xdr:to>
    <xdr:sp macro="" textlink="">
      <xdr:nvSpPr>
        <xdr:cNvPr id="3" name="Arrow: Left-Right 2">
          <a:extLst>
            <a:ext uri="{FF2B5EF4-FFF2-40B4-BE49-F238E27FC236}">
              <a16:creationId xmlns:a16="http://schemas.microsoft.com/office/drawing/2014/main" id="{00000000-0008-0000-0E00-000003000000}"/>
            </a:ext>
          </a:extLst>
        </xdr:cNvPr>
        <xdr:cNvSpPr/>
      </xdr:nvSpPr>
      <xdr:spPr>
        <a:xfrm rot="19076140">
          <a:off x="8686800" y="8105775"/>
          <a:ext cx="419100" cy="238125"/>
        </a:xfrm>
        <a:prstGeom prst="lef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38099</xdr:colOff>
      <xdr:row>7</xdr:row>
      <xdr:rowOff>114300</xdr:rowOff>
    </xdr:from>
    <xdr:to>
      <xdr:col>15</xdr:col>
      <xdr:colOff>428624</xdr:colOff>
      <xdr:row>14</xdr:row>
      <xdr:rowOff>161925</xdr:rowOff>
    </xdr:to>
    <xdr:sp macro="" textlink="">
      <xdr:nvSpPr>
        <xdr:cNvPr id="4" name="Multiplication Sign 3">
          <a:extLst>
            <a:ext uri="{FF2B5EF4-FFF2-40B4-BE49-F238E27FC236}">
              <a16:creationId xmlns:a16="http://schemas.microsoft.com/office/drawing/2014/main" id="{00000000-0008-0000-0E00-000004000000}"/>
            </a:ext>
          </a:extLst>
        </xdr:cNvPr>
        <xdr:cNvSpPr/>
      </xdr:nvSpPr>
      <xdr:spPr>
        <a:xfrm>
          <a:off x="5467349" y="1495425"/>
          <a:ext cx="4314825" cy="1238250"/>
        </a:xfrm>
        <a:prstGeom prst="mathMultiply">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339165</xdr:colOff>
      <xdr:row>23</xdr:row>
      <xdr:rowOff>78068</xdr:rowOff>
    </xdr:from>
    <xdr:to>
      <xdr:col>14</xdr:col>
      <xdr:colOff>493889</xdr:colOff>
      <xdr:row>26</xdr:row>
      <xdr:rowOff>98612</xdr:rowOff>
    </xdr:to>
    <xdr:sp macro="" textlink="">
      <xdr:nvSpPr>
        <xdr:cNvPr id="3" name="Speech Bubble: Rectangle 2">
          <a:extLst>
            <a:ext uri="{FF2B5EF4-FFF2-40B4-BE49-F238E27FC236}">
              <a16:creationId xmlns:a16="http://schemas.microsoft.com/office/drawing/2014/main" id="{00000000-0008-0000-0200-000003000000}"/>
            </a:ext>
          </a:extLst>
        </xdr:cNvPr>
        <xdr:cNvSpPr/>
      </xdr:nvSpPr>
      <xdr:spPr>
        <a:xfrm>
          <a:off x="9412609" y="4706512"/>
          <a:ext cx="4515058" cy="570878"/>
        </a:xfrm>
        <a:prstGeom prst="wedgeRectCallout">
          <a:avLst>
            <a:gd name="adj1" fmla="val -65263"/>
            <a:gd name="adj2" fmla="val 1665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En la Base imponible se  debe deducir el Interés y reajuste pagados por cada cuota del o los créditos.</a:t>
          </a:r>
          <a:endParaRPr lang="es-CL" sz="1000">
            <a:solidFill>
              <a:schemeClr val="tx1"/>
            </a:solidFill>
            <a:latin typeface="Arial"/>
          </a:endParaRPr>
        </a:p>
      </xdr:txBody>
    </xdr:sp>
    <xdr:clientData/>
  </xdr:twoCellAnchor>
  <xdr:twoCellAnchor>
    <xdr:from>
      <xdr:col>10</xdr:col>
      <xdr:colOff>329827</xdr:colOff>
      <xdr:row>26</xdr:row>
      <xdr:rowOff>135094</xdr:rowOff>
    </xdr:from>
    <xdr:to>
      <xdr:col>14</xdr:col>
      <xdr:colOff>359834</xdr:colOff>
      <xdr:row>28</xdr:row>
      <xdr:rowOff>179917</xdr:rowOff>
    </xdr:to>
    <xdr:sp macro="" textlink="">
      <xdr:nvSpPr>
        <xdr:cNvPr id="4" name="Speech Bubble: Rectangle 3">
          <a:extLst>
            <a:ext uri="{FF2B5EF4-FFF2-40B4-BE49-F238E27FC236}">
              <a16:creationId xmlns:a16="http://schemas.microsoft.com/office/drawing/2014/main" id="{00000000-0008-0000-0200-000004000000}"/>
            </a:ext>
          </a:extLst>
        </xdr:cNvPr>
        <xdr:cNvSpPr/>
      </xdr:nvSpPr>
      <xdr:spPr>
        <a:xfrm>
          <a:off x="8267327" y="5617261"/>
          <a:ext cx="3533090" cy="436406"/>
        </a:xfrm>
        <a:prstGeom prst="wedgeRectCallout">
          <a:avLst>
            <a:gd name="adj1" fmla="val -66096"/>
            <a:gd name="adj2" fmla="val -4391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Partidas</a:t>
          </a:r>
          <a:r>
            <a:rPr lang="es-CL" sz="1000" baseline="0">
              <a:solidFill>
                <a:schemeClr val="tx1"/>
              </a:solidFill>
              <a:latin typeface="Arial"/>
            </a:rPr>
            <a:t> del inciso segundo del art. 21 LIR que en primera instancia se deducen pero posteriormente se agregan.</a:t>
          </a:r>
          <a:endParaRPr lang="es-CL" sz="1000">
            <a:solidFill>
              <a:schemeClr val="tx1"/>
            </a:solidFill>
            <a:latin typeface="Arial"/>
          </a:endParaRPr>
        </a:p>
      </xdr:txBody>
    </xdr:sp>
    <xdr:clientData/>
  </xdr:twoCellAnchor>
  <xdr:twoCellAnchor>
    <xdr:from>
      <xdr:col>10</xdr:col>
      <xdr:colOff>423084</xdr:colOff>
      <xdr:row>3</xdr:row>
      <xdr:rowOff>105833</xdr:rowOff>
    </xdr:from>
    <xdr:to>
      <xdr:col>14</xdr:col>
      <xdr:colOff>514350</xdr:colOff>
      <xdr:row>6</xdr:row>
      <xdr:rowOff>300564</xdr:rowOff>
    </xdr:to>
    <xdr:sp macro="" textlink="">
      <xdr:nvSpPr>
        <xdr:cNvPr id="6" name="Speech Bubble: Rectangle 5">
          <a:extLst>
            <a:ext uri="{FF2B5EF4-FFF2-40B4-BE49-F238E27FC236}">
              <a16:creationId xmlns:a16="http://schemas.microsoft.com/office/drawing/2014/main" id="{00000000-0008-0000-0200-000006000000}"/>
            </a:ext>
          </a:extLst>
        </xdr:cNvPr>
        <xdr:cNvSpPr/>
      </xdr:nvSpPr>
      <xdr:spPr>
        <a:xfrm>
          <a:off x="8360584" y="910166"/>
          <a:ext cx="3594349" cy="776815"/>
        </a:xfrm>
        <a:prstGeom prst="wedgeRectCallout">
          <a:avLst>
            <a:gd name="adj1" fmla="val -61401"/>
            <a:gd name="adj2" fmla="val 3730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Aun cuando no se haya recibido el pago de la factura</a:t>
          </a:r>
          <a:r>
            <a:rPr lang="es-CL" sz="1000" baseline="0">
              <a:solidFill>
                <a:schemeClr val="tx1"/>
              </a:solidFill>
              <a:latin typeface="Arial"/>
            </a:rPr>
            <a:t> de venta, se debe reconocer el ingreso por cuanto esta operacón se ha efectuado con una parte relacionada sujeta al régimen del art. 14 letra A) de la LIR </a:t>
          </a:r>
          <a:endParaRPr lang="es-CL" sz="1000">
            <a:solidFill>
              <a:schemeClr val="tx1"/>
            </a:solidFill>
            <a:latin typeface="Arial"/>
          </a:endParaRPr>
        </a:p>
      </xdr:txBody>
    </xdr:sp>
    <xdr:clientData/>
  </xdr:twoCellAnchor>
  <xdr:twoCellAnchor>
    <xdr:from>
      <xdr:col>10</xdr:col>
      <xdr:colOff>430867</xdr:colOff>
      <xdr:row>10</xdr:row>
      <xdr:rowOff>42333</xdr:rowOff>
    </xdr:from>
    <xdr:to>
      <xdr:col>14</xdr:col>
      <xdr:colOff>495300</xdr:colOff>
      <xdr:row>13</xdr:row>
      <xdr:rowOff>162983</xdr:rowOff>
    </xdr:to>
    <xdr:sp macro="" textlink="">
      <xdr:nvSpPr>
        <xdr:cNvPr id="10" name="Speech Bubble: Rectangle 5">
          <a:extLst>
            <a:ext uri="{FF2B5EF4-FFF2-40B4-BE49-F238E27FC236}">
              <a16:creationId xmlns:a16="http://schemas.microsoft.com/office/drawing/2014/main" id="{00000000-0008-0000-0200-00000A000000}"/>
            </a:ext>
          </a:extLst>
        </xdr:cNvPr>
        <xdr:cNvSpPr/>
      </xdr:nvSpPr>
      <xdr:spPr>
        <a:xfrm>
          <a:off x="8575800" y="2286000"/>
          <a:ext cx="3662767" cy="696383"/>
        </a:xfrm>
        <a:prstGeom prst="wedgeRectCallout">
          <a:avLst>
            <a:gd name="adj1" fmla="val -67832"/>
            <a:gd name="adj2" fmla="val 3362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El monto del reajuste del PPM ascendió a $4.438 ($274.438</a:t>
          </a:r>
          <a:r>
            <a:rPr lang="es-CL" sz="1000" baseline="0">
              <a:solidFill>
                <a:schemeClr val="tx1"/>
              </a:solidFill>
              <a:latin typeface="Arial"/>
            </a:rPr>
            <a:t> - $270.000</a:t>
          </a:r>
          <a:r>
            <a:rPr lang="es-CL" sz="1000">
              <a:solidFill>
                <a:schemeClr val="tx1"/>
              </a:solidFill>
              <a:effectLst/>
              <a:latin typeface="Arial"/>
              <a:ea typeface="+mn-ea"/>
              <a:cs typeface="+mn-cs"/>
            </a:rPr>
            <a:t>)</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 al 31 de diciembre del 2021.</a:t>
          </a:r>
        </a:p>
      </xdr:txBody>
    </xdr:sp>
    <xdr:clientData/>
  </xdr:twoCellAnchor>
  <xdr:twoCellAnchor>
    <xdr:from>
      <xdr:col>10</xdr:col>
      <xdr:colOff>331694</xdr:colOff>
      <xdr:row>21</xdr:row>
      <xdr:rowOff>76200</xdr:rowOff>
    </xdr:from>
    <xdr:to>
      <xdr:col>12</xdr:col>
      <xdr:colOff>282222</xdr:colOff>
      <xdr:row>23</xdr:row>
      <xdr:rowOff>14112</xdr:rowOff>
    </xdr:to>
    <xdr:sp macro="" textlink="">
      <xdr:nvSpPr>
        <xdr:cNvPr id="11" name="Speech Bubble: Rectangle 2">
          <a:extLst>
            <a:ext uri="{FF2B5EF4-FFF2-40B4-BE49-F238E27FC236}">
              <a16:creationId xmlns:a16="http://schemas.microsoft.com/office/drawing/2014/main" id="{00000000-0008-0000-0200-00000B000000}"/>
            </a:ext>
          </a:extLst>
        </xdr:cNvPr>
        <xdr:cNvSpPr/>
      </xdr:nvSpPr>
      <xdr:spPr>
        <a:xfrm>
          <a:off x="9405138" y="4337756"/>
          <a:ext cx="2448195" cy="304800"/>
        </a:xfrm>
        <a:prstGeom prst="wedgeRectCallout">
          <a:avLst>
            <a:gd name="adj1" fmla="val -66885"/>
            <a:gd name="adj2" fmla="val 33174"/>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L" sz="1000" baseline="0">
              <a:solidFill>
                <a:srgbClr val="FF0000"/>
              </a:solidFill>
            </a:rPr>
            <a:t>honorarios pagados durante el ejercicio </a:t>
          </a:r>
          <a:endParaRPr lang="es-CL" sz="1000">
            <a:solidFill>
              <a:srgbClr val="FF0000"/>
            </a:solidFill>
          </a:endParaRPr>
        </a:p>
      </xdr:txBody>
    </xdr:sp>
    <xdr:clientData/>
  </xdr:twoCellAnchor>
  <xdr:twoCellAnchor>
    <xdr:from>
      <xdr:col>10</xdr:col>
      <xdr:colOff>317687</xdr:colOff>
      <xdr:row>0</xdr:row>
      <xdr:rowOff>158563</xdr:rowOff>
    </xdr:from>
    <xdr:to>
      <xdr:col>14</xdr:col>
      <xdr:colOff>540061</xdr:colOff>
      <xdr:row>2</xdr:row>
      <xdr:rowOff>372781</xdr:rowOff>
    </xdr:to>
    <xdr:sp macro="" textlink="">
      <xdr:nvSpPr>
        <xdr:cNvPr id="12" name="Speech Bubble: Rectangle 5">
          <a:extLst>
            <a:ext uri="{FF2B5EF4-FFF2-40B4-BE49-F238E27FC236}">
              <a16:creationId xmlns:a16="http://schemas.microsoft.com/office/drawing/2014/main" id="{00000000-0008-0000-0200-00000C000000}"/>
            </a:ext>
          </a:extLst>
        </xdr:cNvPr>
        <xdr:cNvSpPr/>
      </xdr:nvSpPr>
      <xdr:spPr>
        <a:xfrm>
          <a:off x="8242487" y="158563"/>
          <a:ext cx="3727574" cy="604743"/>
        </a:xfrm>
        <a:prstGeom prst="wedgeRectCallout">
          <a:avLst>
            <a:gd name="adj1" fmla="val -63766"/>
            <a:gd name="adj2" fmla="val 814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En lo que resulte pertinente la Información</a:t>
          </a:r>
          <a:r>
            <a:rPr lang="es-CL" sz="1000" baseline="0">
              <a:solidFill>
                <a:schemeClr val="tx1"/>
              </a:solidFill>
              <a:latin typeface="Arial"/>
            </a:rPr>
            <a:t> es</a:t>
          </a:r>
          <a:r>
            <a:rPr lang="es-CL" sz="1000">
              <a:solidFill>
                <a:schemeClr val="tx1"/>
              </a:solidFill>
              <a:latin typeface="Arial"/>
            </a:rPr>
            <a:t> extraída del Registro electrónico de compras y ventas, contenido en</a:t>
          </a:r>
          <a:r>
            <a:rPr lang="es-CL" sz="1000" baseline="0">
              <a:solidFill>
                <a:schemeClr val="tx1"/>
              </a:solidFill>
              <a:latin typeface="Arial"/>
            </a:rPr>
            <a:t> el DL 825/1974</a:t>
          </a:r>
          <a:r>
            <a:rPr lang="es-CL" sz="1000">
              <a:solidFill>
                <a:schemeClr val="tx1"/>
              </a:solidFill>
              <a:latin typeface="Arial"/>
            </a:rPr>
            <a:t> y complementado</a:t>
          </a:r>
          <a:r>
            <a:rPr lang="es-CL" sz="1000" baseline="0">
              <a:solidFill>
                <a:schemeClr val="tx1"/>
              </a:solidFill>
              <a:latin typeface="Arial"/>
            </a:rPr>
            <a:t> y/o ajustado por el contribuyente.</a:t>
          </a:r>
          <a:endParaRPr lang="es-CL" sz="1000">
            <a:solidFill>
              <a:schemeClr val="tx1"/>
            </a:solidFill>
            <a:latin typeface="Arial"/>
          </a:endParaRPr>
        </a:p>
      </xdr:txBody>
    </xdr:sp>
    <xdr:clientData/>
  </xdr:twoCellAnchor>
  <xdr:twoCellAnchor>
    <xdr:from>
      <xdr:col>1</xdr:col>
      <xdr:colOff>70909</xdr:colOff>
      <xdr:row>55</xdr:row>
      <xdr:rowOff>81493</xdr:rowOff>
    </xdr:from>
    <xdr:to>
      <xdr:col>5</xdr:col>
      <xdr:colOff>937684</xdr:colOff>
      <xdr:row>61</xdr:row>
      <xdr:rowOff>77260</xdr:rowOff>
    </xdr:to>
    <xdr:sp macro="" textlink="">
      <xdr:nvSpPr>
        <xdr:cNvPr id="15" name="Speech Bubble: Rectangle 1">
          <a:extLst>
            <a:ext uri="{FF2B5EF4-FFF2-40B4-BE49-F238E27FC236}">
              <a16:creationId xmlns:a16="http://schemas.microsoft.com/office/drawing/2014/main" id="{00000000-0008-0000-0200-00000F000000}"/>
            </a:ext>
          </a:extLst>
        </xdr:cNvPr>
        <xdr:cNvSpPr/>
      </xdr:nvSpPr>
      <xdr:spPr>
        <a:xfrm>
          <a:off x="367242" y="11447993"/>
          <a:ext cx="4528609" cy="1138767"/>
        </a:xfrm>
        <a:prstGeom prst="wedgeRectCallout">
          <a:avLst>
            <a:gd name="adj1" fmla="val 19506"/>
            <a:gd name="adj2" fmla="val -6908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Dicha rebaja no será aplicable a empresas que pongan término a su giro respecto de la base imponible  que determinen en el ejercicio en que dicho término de giro se produce, toda vez que las rentas acumuladas se entienden retiradas, remesadas o distribuidas y por tanto, no se mantendrán invertidas, lo que incumple la condición que establece la norma señalada. </a:t>
          </a:r>
        </a:p>
        <a:p>
          <a:pPr algn="just"/>
          <a:r>
            <a:rPr lang="es-CL" sz="1000" b="0" i="0" u="none" strike="noStrike" baseline="0">
              <a:solidFill>
                <a:schemeClr val="tx1"/>
              </a:solidFill>
              <a:latin typeface="Arial"/>
              <a:ea typeface="+mn-ea"/>
              <a:cs typeface="+mn-cs"/>
            </a:rPr>
            <a:t>(3.2.3 Circular SII N°73 de 2020)</a:t>
          </a:r>
          <a:endParaRPr lang="es-CL" sz="1000">
            <a:solidFill>
              <a:schemeClr val="tx1"/>
            </a:solidFill>
            <a:latin typeface="Arial"/>
          </a:endParaRPr>
        </a:p>
      </xdr:txBody>
    </xdr:sp>
    <xdr:clientData/>
  </xdr:twoCellAnchor>
  <xdr:twoCellAnchor>
    <xdr:from>
      <xdr:col>10</xdr:col>
      <xdr:colOff>149162</xdr:colOff>
      <xdr:row>52</xdr:row>
      <xdr:rowOff>112374</xdr:rowOff>
    </xdr:from>
    <xdr:to>
      <xdr:col>11</xdr:col>
      <xdr:colOff>723339</xdr:colOff>
      <xdr:row>55</xdr:row>
      <xdr:rowOff>86911</xdr:rowOff>
    </xdr:to>
    <xdr:sp macro="" textlink="">
      <xdr:nvSpPr>
        <xdr:cNvPr id="16" name="Speech Bubble: Rectangle 15">
          <a:extLst>
            <a:ext uri="{FF2B5EF4-FFF2-40B4-BE49-F238E27FC236}">
              <a16:creationId xmlns:a16="http://schemas.microsoft.com/office/drawing/2014/main" id="{00000000-0008-0000-0200-000010000000}"/>
            </a:ext>
          </a:extLst>
        </xdr:cNvPr>
        <xdr:cNvSpPr/>
      </xdr:nvSpPr>
      <xdr:spPr>
        <a:xfrm>
          <a:off x="8294095" y="10729574"/>
          <a:ext cx="1657911" cy="592604"/>
        </a:xfrm>
        <a:prstGeom prst="wedgeRectCallout">
          <a:avLst>
            <a:gd name="adj1" fmla="val -69355"/>
            <a:gd name="adj2" fmla="val -25450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Todos los montos</a:t>
          </a:r>
          <a:r>
            <a:rPr lang="es-CL" sz="1000" baseline="0">
              <a:solidFill>
                <a:schemeClr val="tx1"/>
              </a:solidFill>
              <a:latin typeface="Arial"/>
            </a:rPr>
            <a:t> deben ser registrados a valores históricos.</a:t>
          </a:r>
          <a:endParaRPr lang="es-CL" sz="1000">
            <a:solidFill>
              <a:schemeClr val="tx1"/>
            </a:solidFill>
            <a:latin typeface="Arial"/>
          </a:endParaRPr>
        </a:p>
      </xdr:txBody>
    </xdr:sp>
    <xdr:clientData/>
  </xdr:twoCellAnchor>
  <xdr:twoCellAnchor>
    <xdr:from>
      <xdr:col>10</xdr:col>
      <xdr:colOff>533627</xdr:colOff>
      <xdr:row>47</xdr:row>
      <xdr:rowOff>136713</xdr:rowOff>
    </xdr:from>
    <xdr:to>
      <xdr:col>14</xdr:col>
      <xdr:colOff>647699</xdr:colOff>
      <xdr:row>51</xdr:row>
      <xdr:rowOff>10584</xdr:rowOff>
    </xdr:to>
    <xdr:sp macro="" textlink="">
      <xdr:nvSpPr>
        <xdr:cNvPr id="17" name="Speech Bubble: Rectangle 1">
          <a:extLst>
            <a:ext uri="{FF2B5EF4-FFF2-40B4-BE49-F238E27FC236}">
              <a16:creationId xmlns:a16="http://schemas.microsoft.com/office/drawing/2014/main" id="{00000000-0008-0000-0200-000011000000}"/>
            </a:ext>
          </a:extLst>
        </xdr:cNvPr>
        <xdr:cNvSpPr/>
      </xdr:nvSpPr>
      <xdr:spPr>
        <a:xfrm>
          <a:off x="8460544" y="10053296"/>
          <a:ext cx="3902905" cy="657038"/>
        </a:xfrm>
        <a:prstGeom prst="wedgeRectCallout">
          <a:avLst>
            <a:gd name="adj1" fmla="val -68356"/>
            <a:gd name="adj2" fmla="val -14201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Se debe deducir</a:t>
          </a:r>
          <a:r>
            <a:rPr lang="es-CL" sz="1000" baseline="0">
              <a:solidFill>
                <a:schemeClr val="tx1"/>
              </a:solidFill>
              <a:latin typeface="Arial"/>
            </a:rPr>
            <a:t> el 100% de </a:t>
          </a:r>
          <a:r>
            <a:rPr lang="es-CL" sz="1000">
              <a:solidFill>
                <a:schemeClr val="tx1"/>
              </a:solidFill>
              <a:latin typeface="Arial"/>
            </a:rPr>
            <a:t>los retiros históricos a todo evento, </a:t>
          </a:r>
          <a:r>
            <a:rPr lang="es-CL" sz="1000" baseline="0">
              <a:solidFill>
                <a:schemeClr val="tx1"/>
              </a:solidFill>
              <a:latin typeface="Arial"/>
            </a:rPr>
            <a:t> independientemente si se encuentran o no afectos a impuestos finales.</a:t>
          </a:r>
          <a:endParaRPr lang="es-CL" sz="1000">
            <a:solidFill>
              <a:schemeClr val="tx1"/>
            </a:solidFill>
            <a:latin typeface="Arial"/>
          </a:endParaRPr>
        </a:p>
      </xdr:txBody>
    </xdr:sp>
    <xdr:clientData/>
  </xdr:twoCellAnchor>
  <xdr:twoCellAnchor>
    <xdr:from>
      <xdr:col>10</xdr:col>
      <xdr:colOff>506172</xdr:colOff>
      <xdr:row>40</xdr:row>
      <xdr:rowOff>142875</xdr:rowOff>
    </xdr:from>
    <xdr:to>
      <xdr:col>14</xdr:col>
      <xdr:colOff>695324</xdr:colOff>
      <xdr:row>46</xdr:row>
      <xdr:rowOff>108760</xdr:rowOff>
    </xdr:to>
    <xdr:sp macro="" textlink="">
      <xdr:nvSpPr>
        <xdr:cNvPr id="18" name="Speech Bubble: Rectangle 1">
          <a:extLst>
            <a:ext uri="{FF2B5EF4-FFF2-40B4-BE49-F238E27FC236}">
              <a16:creationId xmlns:a16="http://schemas.microsoft.com/office/drawing/2014/main" id="{00000000-0008-0000-0200-000012000000}"/>
            </a:ext>
          </a:extLst>
        </xdr:cNvPr>
        <xdr:cNvSpPr/>
      </xdr:nvSpPr>
      <xdr:spPr>
        <a:xfrm>
          <a:off x="8430972" y="8267700"/>
          <a:ext cx="3694352" cy="1223185"/>
        </a:xfrm>
        <a:prstGeom prst="wedgeRectCallout">
          <a:avLst>
            <a:gd name="adj1" fmla="val -66957"/>
            <a:gd name="adj2" fmla="val -643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La empresa</a:t>
          </a:r>
          <a:r>
            <a:rPr lang="es-CL" sz="1000" baseline="0">
              <a:solidFill>
                <a:schemeClr val="tx1"/>
              </a:solidFill>
              <a:latin typeface="Arial"/>
            </a:rPr>
            <a:t> cumple con el requisito de tener un </a:t>
          </a:r>
          <a:r>
            <a:rPr lang="es-CL" sz="1000">
              <a:solidFill>
                <a:schemeClr val="tx1"/>
              </a:solidFill>
              <a:latin typeface="Arial"/>
            </a:rPr>
            <a:t>promedio anual de ingresos de su giro en los tres años comerciales anteriores al año en que se debe ejercer la opción (abril) que no exceda de las 100.000 UF,</a:t>
          </a:r>
          <a:r>
            <a:rPr lang="es-CL" sz="1000" baseline="0">
              <a:solidFill>
                <a:schemeClr val="tx1"/>
              </a:solidFill>
              <a:latin typeface="Arial"/>
            </a:rPr>
            <a:t> para esto se</a:t>
          </a:r>
          <a:r>
            <a:rPr lang="es-CL" sz="1000">
              <a:solidFill>
                <a:schemeClr val="tx1"/>
              </a:solidFill>
              <a:latin typeface="Arial"/>
            </a:rPr>
            <a:t> considerarán los ingresos obtenidos por sus empresas relacionadas en los términos del N° 17 del art. 8° del CT, aplicando para ese efecto lo dispuesto en la letra (b) del N° 1 de la letra D) del art 14 LIR.</a:t>
          </a:r>
        </a:p>
      </xdr:txBody>
    </xdr:sp>
    <xdr:clientData/>
  </xdr:twoCellAnchor>
  <xdr:twoCellAnchor>
    <xdr:from>
      <xdr:col>6</xdr:col>
      <xdr:colOff>800100</xdr:colOff>
      <xdr:row>52</xdr:row>
      <xdr:rowOff>80186</xdr:rowOff>
    </xdr:from>
    <xdr:to>
      <xdr:col>10</xdr:col>
      <xdr:colOff>9525</xdr:colOff>
      <xdr:row>55</xdr:row>
      <xdr:rowOff>108761</xdr:rowOff>
    </xdr:to>
    <xdr:sp macro="" textlink="">
      <xdr:nvSpPr>
        <xdr:cNvPr id="19" name="Speech Bubble: Rectangle 1">
          <a:extLst>
            <a:ext uri="{FF2B5EF4-FFF2-40B4-BE49-F238E27FC236}">
              <a16:creationId xmlns:a16="http://schemas.microsoft.com/office/drawing/2014/main" id="{00000000-0008-0000-0200-000013000000}"/>
            </a:ext>
          </a:extLst>
        </xdr:cNvPr>
        <xdr:cNvSpPr/>
      </xdr:nvSpPr>
      <xdr:spPr>
        <a:xfrm>
          <a:off x="5857875" y="10633886"/>
          <a:ext cx="2076450" cy="657225"/>
        </a:xfrm>
        <a:prstGeom prst="wedgeRectCallout">
          <a:avLst>
            <a:gd name="adj1" fmla="val 14674"/>
            <a:gd name="adj2" fmla="val -12019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No existe</a:t>
          </a:r>
          <a:r>
            <a:rPr lang="es-CL" sz="1000" baseline="0">
              <a:solidFill>
                <a:schemeClr val="tx1"/>
              </a:solidFill>
              <a:latin typeface="Arial"/>
            </a:rPr>
            <a:t> la obligación de reponer esta deducción en ejercicios futuros.</a:t>
          </a:r>
          <a:endParaRPr lang="es-CL" sz="1000">
            <a:solidFill>
              <a:schemeClr val="tx1"/>
            </a:solidFill>
            <a:latin typeface="Arial"/>
          </a:endParaRPr>
        </a:p>
      </xdr:txBody>
    </xdr:sp>
    <xdr:clientData/>
  </xdr:twoCellAnchor>
  <xdr:twoCellAnchor>
    <xdr:from>
      <xdr:col>1</xdr:col>
      <xdr:colOff>10583</xdr:colOff>
      <xdr:row>51</xdr:row>
      <xdr:rowOff>31751</xdr:rowOff>
    </xdr:from>
    <xdr:to>
      <xdr:col>6</xdr:col>
      <xdr:colOff>613834</xdr:colOff>
      <xdr:row>54</xdr:row>
      <xdr:rowOff>10583</xdr:rowOff>
    </xdr:to>
    <xdr:sp macro="" textlink="">
      <xdr:nvSpPr>
        <xdr:cNvPr id="14" name="Speech Bubble: Rectangle 1">
          <a:extLst>
            <a:ext uri="{FF2B5EF4-FFF2-40B4-BE49-F238E27FC236}">
              <a16:creationId xmlns:a16="http://schemas.microsoft.com/office/drawing/2014/main" id="{00000000-0008-0000-0200-00000E000000}"/>
            </a:ext>
          </a:extLst>
        </xdr:cNvPr>
        <xdr:cNvSpPr/>
      </xdr:nvSpPr>
      <xdr:spPr>
        <a:xfrm>
          <a:off x="306916" y="10583334"/>
          <a:ext cx="5365751" cy="603249"/>
        </a:xfrm>
        <a:prstGeom prst="wedgeRectCallout">
          <a:avLst>
            <a:gd name="adj1" fmla="val 41950"/>
            <a:gd name="adj2" fmla="val -75214"/>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b="0" i="0" u="none" strike="noStrike" baseline="0">
              <a:solidFill>
                <a:schemeClr val="tx1"/>
              </a:solidFill>
              <a:latin typeface="Arial"/>
              <a:ea typeface="+mn-ea"/>
              <a:cs typeface="+mn-cs"/>
            </a:rPr>
            <a:t>Los contribuyentes sujetos al régimen del N°3 de la letra D) del artículo 14 de la LIR que opten por acogerse al incentivo al ahorro, deberán manifestarlo en el Formulario N° 22, sobre declaración de impuestos anuales a la renta, a través del código 1432 del Recuadro N°17 del  F-22 AT 2022.</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10</xdr:col>
      <xdr:colOff>342277</xdr:colOff>
      <xdr:row>21</xdr:row>
      <xdr:rowOff>76200</xdr:rowOff>
    </xdr:from>
    <xdr:to>
      <xdr:col>12</xdr:col>
      <xdr:colOff>793749</xdr:colOff>
      <xdr:row>23</xdr:row>
      <xdr:rowOff>14112</xdr:rowOff>
    </xdr:to>
    <xdr:sp macro="" textlink="">
      <xdr:nvSpPr>
        <xdr:cNvPr id="20" name="Speech Bubble: Rectangle 2">
          <a:extLst>
            <a:ext uri="{FF2B5EF4-FFF2-40B4-BE49-F238E27FC236}">
              <a16:creationId xmlns:a16="http://schemas.microsoft.com/office/drawing/2014/main" id="{2CA14026-D392-43BE-906F-58998DDA063F}"/>
            </a:ext>
          </a:extLst>
        </xdr:cNvPr>
        <xdr:cNvSpPr/>
      </xdr:nvSpPr>
      <xdr:spPr>
        <a:xfrm>
          <a:off x="8269194" y="4468283"/>
          <a:ext cx="2621055" cy="318912"/>
        </a:xfrm>
        <a:prstGeom prst="wedgeRectCallout">
          <a:avLst>
            <a:gd name="adj1" fmla="val -73345"/>
            <a:gd name="adj2" fmla="val 1326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honorarios pagados durante el ejercicio </a:t>
          </a:r>
          <a:endParaRPr lang="es-CL" sz="1000">
            <a:solidFill>
              <a:schemeClr val="tx1"/>
            </a:solidFill>
            <a:latin typeface="Arial"/>
          </a:endParaRPr>
        </a:p>
      </xdr:txBody>
    </xdr:sp>
    <xdr:clientData/>
  </xdr:twoCellAnchor>
  <xdr:twoCellAnchor>
    <xdr:from>
      <xdr:col>10</xdr:col>
      <xdr:colOff>314760</xdr:colOff>
      <xdr:row>17</xdr:row>
      <xdr:rowOff>42333</xdr:rowOff>
    </xdr:from>
    <xdr:to>
      <xdr:col>14</xdr:col>
      <xdr:colOff>536222</xdr:colOff>
      <xdr:row>20</xdr:row>
      <xdr:rowOff>179916</xdr:rowOff>
    </xdr:to>
    <xdr:sp macro="" textlink="">
      <xdr:nvSpPr>
        <xdr:cNvPr id="21" name="Speech Bubble: Rectangle 2">
          <a:extLst>
            <a:ext uri="{FF2B5EF4-FFF2-40B4-BE49-F238E27FC236}">
              <a16:creationId xmlns:a16="http://schemas.microsoft.com/office/drawing/2014/main" id="{96019304-240A-40F5-9A15-6D8C0A9D2C1B}"/>
            </a:ext>
          </a:extLst>
        </xdr:cNvPr>
        <xdr:cNvSpPr/>
      </xdr:nvSpPr>
      <xdr:spPr>
        <a:xfrm>
          <a:off x="9388204" y="3570111"/>
          <a:ext cx="4581796" cy="687916"/>
        </a:xfrm>
        <a:prstGeom prst="wedgeRectCallout">
          <a:avLst>
            <a:gd name="adj1" fmla="val -66208"/>
            <a:gd name="adj2" fmla="val 6230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No forman parte de este monto las cotizaciones previsionales de diciembre de 2021 (siempre que no se encuentren pagadas en dicho mes)  y las retenciones IUSC de diciembre 2021.</a:t>
          </a:r>
          <a:endParaRPr lang="es-CL" sz="1000">
            <a:solidFill>
              <a:schemeClr val="tx1"/>
            </a:solidFill>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47625</xdr:rowOff>
    </xdr:from>
    <xdr:to>
      <xdr:col>9</xdr:col>
      <xdr:colOff>247650</xdr:colOff>
      <xdr:row>3</xdr:row>
      <xdr:rowOff>152400</xdr:rowOff>
    </xdr:to>
    <xdr:pic>
      <xdr:nvPicPr>
        <xdr:cNvPr id="2" name="Imagen 2" descr="logo_si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7050" y="257175"/>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67236</xdr:colOff>
      <xdr:row>6</xdr:row>
      <xdr:rowOff>179295</xdr:rowOff>
    </xdr:from>
    <xdr:to>
      <xdr:col>16</xdr:col>
      <xdr:colOff>108823</xdr:colOff>
      <xdr:row>8</xdr:row>
      <xdr:rowOff>224119</xdr:rowOff>
    </xdr:to>
    <xdr:sp macro="" textlink="">
      <xdr:nvSpPr>
        <xdr:cNvPr id="3" name="Speech Bubble: Rectangle 2">
          <a:extLst>
            <a:ext uri="{FF2B5EF4-FFF2-40B4-BE49-F238E27FC236}">
              <a16:creationId xmlns:a16="http://schemas.microsoft.com/office/drawing/2014/main" id="{00000000-0008-0000-0300-000003000000}"/>
            </a:ext>
          </a:extLst>
        </xdr:cNvPr>
        <xdr:cNvSpPr/>
      </xdr:nvSpPr>
      <xdr:spPr>
        <a:xfrm>
          <a:off x="8415618" y="1624854"/>
          <a:ext cx="3179234" cy="448236"/>
        </a:xfrm>
        <a:prstGeom prst="wedgeRectCallout">
          <a:avLst>
            <a:gd name="adj1" fmla="val -65889"/>
            <a:gd name="adj2" fmla="val -55046"/>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dividendo percibido líquido desde el extranjero más el CTD determinado.</a:t>
          </a:r>
        </a:p>
      </xdr:txBody>
    </xdr:sp>
    <xdr:clientData/>
  </xdr:twoCellAnchor>
  <xdr:twoCellAnchor>
    <xdr:from>
      <xdr:col>6</xdr:col>
      <xdr:colOff>280148</xdr:colOff>
      <xdr:row>17</xdr:row>
      <xdr:rowOff>44823</xdr:rowOff>
    </xdr:from>
    <xdr:to>
      <xdr:col>18</xdr:col>
      <xdr:colOff>441092</xdr:colOff>
      <xdr:row>18</xdr:row>
      <xdr:rowOff>376519</xdr:rowOff>
    </xdr:to>
    <xdr:sp macro="" textlink="">
      <xdr:nvSpPr>
        <xdr:cNvPr id="4" name="Speech Bubble: Rectangle 6">
          <a:extLst>
            <a:ext uri="{FF2B5EF4-FFF2-40B4-BE49-F238E27FC236}">
              <a16:creationId xmlns:a16="http://schemas.microsoft.com/office/drawing/2014/main" id="{00000000-0008-0000-0300-000004000000}"/>
            </a:ext>
          </a:extLst>
        </xdr:cNvPr>
        <xdr:cNvSpPr/>
      </xdr:nvSpPr>
      <xdr:spPr>
        <a:xfrm>
          <a:off x="8628530" y="4471147"/>
          <a:ext cx="4374356" cy="533401"/>
        </a:xfrm>
        <a:prstGeom prst="wedgeRectCallout">
          <a:avLst>
            <a:gd name="adj1" fmla="val -61348"/>
            <a:gd name="adj2" fmla="val 19472"/>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Corresponde a compras o servicios </a:t>
          </a:r>
          <a:r>
            <a:rPr lang="es-CL" sz="1000" b="1" i="0" u="none" strike="noStrike" baseline="0">
              <a:solidFill>
                <a:schemeClr val="tx1"/>
              </a:solidFill>
              <a:latin typeface="Arial"/>
              <a:ea typeface="+mn-ea"/>
              <a:cs typeface="+mn-cs"/>
            </a:rPr>
            <a:t>del negocio </a:t>
          </a:r>
          <a:r>
            <a:rPr lang="es-CL" sz="1000" b="0" i="0" u="none" strike="noStrike" baseline="0">
              <a:solidFill>
                <a:schemeClr val="tx1"/>
              </a:solidFill>
              <a:latin typeface="Arial"/>
              <a:ea typeface="+mn-ea"/>
              <a:cs typeface="+mn-cs"/>
            </a:rPr>
            <a:t>que se hayan adeudado en el año 2020 y se paguen en el 2021.</a:t>
          </a:r>
        </a:p>
      </xdr:txBody>
    </xdr:sp>
    <xdr:clientData/>
  </xdr:twoCellAnchor>
  <xdr:twoCellAnchor>
    <xdr:from>
      <xdr:col>7</xdr:col>
      <xdr:colOff>33060</xdr:colOff>
      <xdr:row>20</xdr:row>
      <xdr:rowOff>166689</xdr:rowOff>
    </xdr:from>
    <xdr:to>
      <xdr:col>18</xdr:col>
      <xdr:colOff>507769</xdr:colOff>
      <xdr:row>23</xdr:row>
      <xdr:rowOff>49727</xdr:rowOff>
    </xdr:to>
    <xdr:sp macro="" textlink="">
      <xdr:nvSpPr>
        <xdr:cNvPr id="5" name="Speech Bubble: Rectangle 6">
          <a:extLst>
            <a:ext uri="{FF2B5EF4-FFF2-40B4-BE49-F238E27FC236}">
              <a16:creationId xmlns:a16="http://schemas.microsoft.com/office/drawing/2014/main" id="{00000000-0008-0000-0300-000005000000}"/>
            </a:ext>
          </a:extLst>
        </xdr:cNvPr>
        <xdr:cNvSpPr/>
      </xdr:nvSpPr>
      <xdr:spPr>
        <a:xfrm>
          <a:off x="8695207" y="5399836"/>
          <a:ext cx="4374356" cy="488156"/>
        </a:xfrm>
        <a:prstGeom prst="wedgeRectCallout">
          <a:avLst>
            <a:gd name="adj1" fmla="val -64070"/>
            <a:gd name="adj2" fmla="val -5758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Los otros gastos adeudados en el año 2020 y pagados en el 2021, deben ser deducidos en el concepto que corresponda.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709085</xdr:colOff>
      <xdr:row>4</xdr:row>
      <xdr:rowOff>116416</xdr:rowOff>
    </xdr:from>
    <xdr:to>
      <xdr:col>10</xdr:col>
      <xdr:colOff>118533</xdr:colOff>
      <xdr:row>7</xdr:row>
      <xdr:rowOff>195580</xdr:rowOff>
    </xdr:to>
    <xdr:sp macro="" textlink="">
      <xdr:nvSpPr>
        <xdr:cNvPr id="2" name="Speech Bubble: Rectangle 1">
          <a:extLst>
            <a:ext uri="{FF2B5EF4-FFF2-40B4-BE49-F238E27FC236}">
              <a16:creationId xmlns:a16="http://schemas.microsoft.com/office/drawing/2014/main" id="{00000000-0008-0000-0400-000002000000}"/>
            </a:ext>
          </a:extLst>
        </xdr:cNvPr>
        <xdr:cNvSpPr/>
      </xdr:nvSpPr>
      <xdr:spPr>
        <a:xfrm>
          <a:off x="6237818" y="937683"/>
          <a:ext cx="3007782" cy="680297"/>
        </a:xfrm>
        <a:prstGeom prst="wedgeRectCallout">
          <a:avLst>
            <a:gd name="adj1" fmla="val -74367"/>
            <a:gd name="adj2" fmla="val 465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rPr>
            <a:t>Corresponde</a:t>
          </a:r>
          <a:r>
            <a:rPr lang="es-CL" sz="1000" baseline="0">
              <a:solidFill>
                <a:schemeClr val="tx1"/>
              </a:solidFill>
            </a:rPr>
            <a:t> a la sumatoria del saldo inicial de INR de $80.000 más el INR del ejercicio de $80.000 </a:t>
          </a:r>
          <a:r>
            <a:rPr lang="es-CL" sz="1000" u="none" baseline="0">
              <a:solidFill>
                <a:schemeClr val="tx1"/>
              </a:solidFill>
            </a:rPr>
            <a:t>antes de imputar los retiros.</a:t>
          </a:r>
          <a:endParaRPr lang="es-CL" sz="1000" u="none">
            <a:solidFill>
              <a:schemeClr val="tx1"/>
            </a:solidFill>
          </a:endParaRPr>
        </a:p>
      </xdr:txBody>
    </xdr:sp>
    <xdr:clientData/>
  </xdr:twoCellAnchor>
  <xdr:twoCellAnchor>
    <xdr:from>
      <xdr:col>6</xdr:col>
      <xdr:colOff>355600</xdr:colOff>
      <xdr:row>0</xdr:row>
      <xdr:rowOff>110066</xdr:rowOff>
    </xdr:from>
    <xdr:to>
      <xdr:col>9</xdr:col>
      <xdr:colOff>59266</xdr:colOff>
      <xdr:row>3</xdr:row>
      <xdr:rowOff>59267</xdr:rowOff>
    </xdr:to>
    <xdr:sp macro="" textlink="">
      <xdr:nvSpPr>
        <xdr:cNvPr id="4" name="Speech Bubble: Rectangle 1">
          <a:extLst>
            <a:ext uri="{FF2B5EF4-FFF2-40B4-BE49-F238E27FC236}">
              <a16:creationId xmlns:a16="http://schemas.microsoft.com/office/drawing/2014/main" id="{00000000-0008-0000-0400-000004000000}"/>
            </a:ext>
          </a:extLst>
        </xdr:cNvPr>
        <xdr:cNvSpPr/>
      </xdr:nvSpPr>
      <xdr:spPr>
        <a:xfrm>
          <a:off x="5884333" y="110066"/>
          <a:ext cx="2565400" cy="575734"/>
        </a:xfrm>
        <a:prstGeom prst="wedgeRectCallout">
          <a:avLst>
            <a:gd name="adj1" fmla="val -64775"/>
            <a:gd name="adj2" fmla="val 9175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rPr>
            <a:t>Corresponde al monto informado en el código 1545 del R19 del</a:t>
          </a:r>
          <a:r>
            <a:rPr lang="es-CL" sz="1000" baseline="0">
              <a:solidFill>
                <a:schemeClr val="tx1"/>
              </a:solidFill>
            </a:rPr>
            <a:t> F22 AT 2022.</a:t>
          </a:r>
          <a:endParaRPr lang="es-CL" sz="1000">
            <a:solidFill>
              <a:schemeClr val="tx1"/>
            </a:solidFill>
          </a:endParaRPr>
        </a:p>
      </xdr:txBody>
    </xdr:sp>
    <xdr:clientData/>
  </xdr:twoCellAnchor>
  <xdr:twoCellAnchor>
    <xdr:from>
      <xdr:col>6</xdr:col>
      <xdr:colOff>431800</xdr:colOff>
      <xdr:row>8</xdr:row>
      <xdr:rowOff>169332</xdr:rowOff>
    </xdr:from>
    <xdr:to>
      <xdr:col>9</xdr:col>
      <xdr:colOff>355600</xdr:colOff>
      <xdr:row>12</xdr:row>
      <xdr:rowOff>76200</xdr:rowOff>
    </xdr:to>
    <xdr:sp macro="" textlink="">
      <xdr:nvSpPr>
        <xdr:cNvPr id="5" name="Speech Bubble: Rectangle 1">
          <a:extLst>
            <a:ext uri="{FF2B5EF4-FFF2-40B4-BE49-F238E27FC236}">
              <a16:creationId xmlns:a16="http://schemas.microsoft.com/office/drawing/2014/main" id="{00000000-0008-0000-0400-000005000000}"/>
            </a:ext>
          </a:extLst>
        </xdr:cNvPr>
        <xdr:cNvSpPr/>
      </xdr:nvSpPr>
      <xdr:spPr>
        <a:xfrm>
          <a:off x="5969000" y="3234265"/>
          <a:ext cx="2794000" cy="668868"/>
        </a:xfrm>
        <a:prstGeom prst="wedgeRectCallout">
          <a:avLst>
            <a:gd name="adj1" fmla="val -67085"/>
            <a:gd name="adj2" fmla="val -9281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rPr>
            <a:t>En caso de existir</a:t>
          </a:r>
          <a:r>
            <a:rPr lang="es-CL" sz="1000" baseline="0">
              <a:solidFill>
                <a:schemeClr val="tx1"/>
              </a:solidFill>
            </a:rPr>
            <a:t> aportes de capital durante el ejercicio en curso dichos valores se deben considerar históricos.</a:t>
          </a:r>
          <a:endParaRPr lang="es-CL" sz="10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3</xdr:row>
      <xdr:rowOff>104775</xdr:rowOff>
    </xdr:to>
    <xdr:pic>
      <xdr:nvPicPr>
        <xdr:cNvPr id="5" name="Imagen 2" descr="logo_sii">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200025"/>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44450</xdr:colOff>
      <xdr:row>4</xdr:row>
      <xdr:rowOff>152400</xdr:rowOff>
    </xdr:from>
    <xdr:to>
      <xdr:col>13</xdr:col>
      <xdr:colOff>138994</xdr:colOff>
      <xdr:row>8</xdr:row>
      <xdr:rowOff>183797</xdr:rowOff>
    </xdr:to>
    <xdr:sp macro="" textlink="">
      <xdr:nvSpPr>
        <xdr:cNvPr id="3" name="Speech Bubble: Rectangle 1">
          <a:extLst>
            <a:ext uri="{FF2B5EF4-FFF2-40B4-BE49-F238E27FC236}">
              <a16:creationId xmlns:a16="http://schemas.microsoft.com/office/drawing/2014/main" id="{00000000-0008-0000-0500-000003000000}"/>
            </a:ext>
          </a:extLst>
        </xdr:cNvPr>
        <xdr:cNvSpPr/>
      </xdr:nvSpPr>
      <xdr:spPr>
        <a:xfrm>
          <a:off x="9081770" y="960120"/>
          <a:ext cx="2456744" cy="831497"/>
        </a:xfrm>
        <a:prstGeom prst="wedgeRectCallout">
          <a:avLst>
            <a:gd name="adj1" fmla="val -80009"/>
            <a:gd name="adj2" fmla="val 38416"/>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
            </a:rPr>
            <a:t>Corresponde</a:t>
          </a:r>
          <a:r>
            <a:rPr lang="es-CL" sz="1000" baseline="0">
              <a:solidFill>
                <a:schemeClr val="tx1"/>
              </a:solidFill>
              <a:latin typeface=""/>
            </a:rPr>
            <a:t> a la sumatoria del saldo inicial de INR de $80.000 más el INR del ejercicio de $80.000 antes de imputar los retiros.</a:t>
          </a:r>
          <a:endParaRPr lang="es-CL" sz="1000">
            <a:solidFill>
              <a:schemeClr val="tx1"/>
            </a:solidFill>
            <a:latin typeface=""/>
          </a:endParaRPr>
        </a:p>
      </xdr:txBody>
    </xdr:sp>
    <xdr:clientData/>
  </xdr:twoCellAnchor>
  <xdr:twoCellAnchor>
    <xdr:from>
      <xdr:col>6</xdr:col>
      <xdr:colOff>85725</xdr:colOff>
      <xdr:row>9</xdr:row>
      <xdr:rowOff>136524</xdr:rowOff>
    </xdr:from>
    <xdr:to>
      <xdr:col>13</xdr:col>
      <xdr:colOff>164394</xdr:colOff>
      <xdr:row>12</xdr:row>
      <xdr:rowOff>129540</xdr:rowOff>
    </xdr:to>
    <xdr:sp macro="" textlink="">
      <xdr:nvSpPr>
        <xdr:cNvPr id="4" name="Speech Bubble: Rectangle 1">
          <a:extLst>
            <a:ext uri="{FF2B5EF4-FFF2-40B4-BE49-F238E27FC236}">
              <a16:creationId xmlns:a16="http://schemas.microsoft.com/office/drawing/2014/main" id="{00000000-0008-0000-0500-000004000000}"/>
            </a:ext>
          </a:extLst>
        </xdr:cNvPr>
        <xdr:cNvSpPr/>
      </xdr:nvSpPr>
      <xdr:spPr>
        <a:xfrm>
          <a:off x="9092565" y="1950084"/>
          <a:ext cx="2318949" cy="640716"/>
        </a:xfrm>
        <a:prstGeom prst="wedgeRectCallout">
          <a:avLst>
            <a:gd name="adj1" fmla="val -80690"/>
            <a:gd name="adj2" fmla="val -5380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
            </a:rPr>
            <a:t>Corresponde</a:t>
          </a:r>
          <a:r>
            <a:rPr lang="es-CL" sz="1000" baseline="0">
              <a:solidFill>
                <a:schemeClr val="tx1"/>
              </a:solidFill>
              <a:latin typeface=""/>
            </a:rPr>
            <a:t> al </a:t>
          </a:r>
          <a:r>
            <a:rPr lang="es-CL" sz="1000">
              <a:solidFill>
                <a:schemeClr val="tx1"/>
              </a:solidFill>
              <a:latin typeface=""/>
              <a:ea typeface="+mn-ea"/>
              <a:cs typeface="+mn-cs"/>
            </a:rPr>
            <a:t>capital aportado reajustado al 31.12.20</a:t>
          </a:r>
          <a:r>
            <a:rPr lang="es-CL" sz="1000" strike="noStrike" baseline="0">
              <a:solidFill>
                <a:schemeClr val="tx1"/>
              </a:solidFill>
              <a:latin typeface=""/>
              <a:ea typeface="+mn-ea"/>
              <a:cs typeface="+mn-cs"/>
            </a:rPr>
            <a:t>19</a:t>
          </a:r>
          <a:r>
            <a:rPr lang="es-CL" sz="1000">
              <a:solidFill>
                <a:schemeClr val="tx1"/>
              </a:solidFill>
              <a:latin typeface=""/>
              <a:ea typeface="+mn-ea"/>
              <a:cs typeface="+mn-cs"/>
            </a:rPr>
            <a:t>, sin reajuste por los años 2020</a:t>
          </a:r>
          <a:r>
            <a:rPr lang="es-CL" sz="1000" baseline="0">
              <a:solidFill>
                <a:schemeClr val="tx1"/>
              </a:solidFill>
              <a:latin typeface=""/>
              <a:ea typeface="+mn-ea"/>
              <a:cs typeface="+mn-cs"/>
            </a:rPr>
            <a:t> y </a:t>
          </a:r>
          <a:r>
            <a:rPr lang="es-CL" sz="1000">
              <a:solidFill>
                <a:schemeClr val="tx1"/>
              </a:solidFill>
              <a:latin typeface=""/>
              <a:ea typeface="+mn-ea"/>
              <a:cs typeface="+mn-cs"/>
            </a:rPr>
            <a:t>2021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497416</xdr:colOff>
      <xdr:row>10</xdr:row>
      <xdr:rowOff>6350</xdr:rowOff>
    </xdr:from>
    <xdr:to>
      <xdr:col>9</xdr:col>
      <xdr:colOff>5379</xdr:colOff>
      <xdr:row>14</xdr:row>
      <xdr:rowOff>182561</xdr:rowOff>
    </xdr:to>
    <xdr:sp macro="" textlink="">
      <xdr:nvSpPr>
        <xdr:cNvPr id="2" name="Speech Bubble: Rectangle 1">
          <a:extLst>
            <a:ext uri="{FF2B5EF4-FFF2-40B4-BE49-F238E27FC236}">
              <a16:creationId xmlns:a16="http://schemas.microsoft.com/office/drawing/2014/main" id="{00000000-0008-0000-0600-000002000000}"/>
            </a:ext>
          </a:extLst>
        </xdr:cNvPr>
        <xdr:cNvSpPr/>
      </xdr:nvSpPr>
      <xdr:spPr>
        <a:xfrm>
          <a:off x="6220354" y="1974850"/>
          <a:ext cx="2444838" cy="946149"/>
        </a:xfrm>
        <a:prstGeom prst="wedgeRectCallout">
          <a:avLst>
            <a:gd name="adj1" fmla="val -70193"/>
            <a:gd name="adj2" fmla="val -4143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100" b="0" i="0" baseline="0">
              <a:solidFill>
                <a:schemeClr val="dk1"/>
              </a:solidFill>
              <a:effectLst/>
              <a:latin typeface="+mn-lt"/>
              <a:ea typeface="+mn-ea"/>
              <a:cs typeface="+mn-cs"/>
            </a:rPr>
            <a:t>Se debe deducir este monto ya que, si bien formó parte de la RLI del ejercicio, no se traduce en un activo para la empresa, como si ocurre con el crédito por IPE imputable al  IDPC  </a:t>
          </a:r>
          <a:endParaRPr lang="es-CL" sz="1000">
            <a:effectLst/>
          </a:endParaRPr>
        </a:p>
        <a:p>
          <a:pPr algn="just"/>
          <a:r>
            <a:rPr lang="es-CL" sz="1000" baseline="0">
              <a:solidFill>
                <a:schemeClr val="tx1"/>
              </a:solidFill>
              <a:latin typeface="Arial"/>
            </a:rPr>
            <a:t>.</a:t>
          </a:r>
          <a:endParaRPr lang="es-CL" sz="1000">
            <a:solidFill>
              <a:schemeClr val="tx1"/>
            </a:solidFill>
            <a:latin typeface="Arial"/>
          </a:endParaRPr>
        </a:p>
      </xdr:txBody>
    </xdr:sp>
    <xdr:clientData/>
  </xdr:twoCellAnchor>
  <xdr:twoCellAnchor>
    <xdr:from>
      <xdr:col>6</xdr:col>
      <xdr:colOff>412751</xdr:colOff>
      <xdr:row>6</xdr:row>
      <xdr:rowOff>63499</xdr:rowOff>
    </xdr:from>
    <xdr:to>
      <xdr:col>8</xdr:col>
      <xdr:colOff>822615</xdr:colOff>
      <xdr:row>8</xdr:row>
      <xdr:rowOff>173181</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6311901" y="1250949"/>
          <a:ext cx="2568864" cy="509732"/>
        </a:xfrm>
        <a:prstGeom prst="wedgeRectCallout">
          <a:avLst>
            <a:gd name="adj1" fmla="val -67299"/>
            <a:gd name="adj2" fmla="val 56262"/>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Partidas que han disminuido</a:t>
          </a:r>
          <a:r>
            <a:rPr lang="es-CL" sz="1000" baseline="0">
              <a:solidFill>
                <a:schemeClr val="tx1"/>
              </a:solidFill>
              <a:latin typeface="Arial"/>
            </a:rPr>
            <a:t> el CPTS pero que no afectan la base imponible.</a:t>
          </a:r>
          <a:endParaRPr lang="es-CL" sz="1000">
            <a:solidFill>
              <a:schemeClr val="tx1"/>
            </a:solidFill>
            <a:latin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3</xdr:row>
      <xdr:rowOff>9525</xdr:rowOff>
    </xdr:to>
    <xdr:pic>
      <xdr:nvPicPr>
        <xdr:cNvPr id="2" name="Imagen 2" descr="logo_sii">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209550"/>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524405</xdr:colOff>
      <xdr:row>5</xdr:row>
      <xdr:rowOff>92073</xdr:rowOff>
    </xdr:from>
    <xdr:to>
      <xdr:col>5</xdr:col>
      <xdr:colOff>222490</xdr:colOff>
      <xdr:row>6</xdr:row>
      <xdr:rowOff>26459</xdr:rowOff>
    </xdr:to>
    <xdr:sp macro="" textlink="">
      <xdr:nvSpPr>
        <xdr:cNvPr id="2" name="Speech Bubble: Rectangle 1">
          <a:extLst>
            <a:ext uri="{FF2B5EF4-FFF2-40B4-BE49-F238E27FC236}">
              <a16:creationId xmlns:a16="http://schemas.microsoft.com/office/drawing/2014/main" id="{00000000-0008-0000-0800-000002000000}"/>
            </a:ext>
          </a:extLst>
        </xdr:cNvPr>
        <xdr:cNvSpPr/>
      </xdr:nvSpPr>
      <xdr:spPr>
        <a:xfrm>
          <a:off x="1334030" y="1223167"/>
          <a:ext cx="2686554" cy="529698"/>
        </a:xfrm>
        <a:prstGeom prst="wedgeRectCallout">
          <a:avLst>
            <a:gd name="adj1" fmla="val 46600"/>
            <a:gd name="adj2" fmla="val 9779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L" sz="1000" b="0">
              <a:solidFill>
                <a:schemeClr val="tx1"/>
              </a:solidFill>
            </a:rPr>
            <a:t>Los montos de todos los registros</a:t>
          </a:r>
          <a:r>
            <a:rPr lang="es-CL" sz="1000" b="0" baseline="0">
              <a:solidFill>
                <a:schemeClr val="tx1"/>
              </a:solidFill>
            </a:rPr>
            <a:t> deben ser anotados a valores históricos.</a:t>
          </a:r>
          <a:endParaRPr lang="es-CL" sz="1000" b="0">
            <a:solidFill>
              <a:schemeClr val="tx1"/>
            </a:solidFill>
          </a:endParaRPr>
        </a:p>
      </xdr:txBody>
    </xdr:sp>
    <xdr:clientData/>
  </xdr:twoCellAnchor>
  <xdr:twoCellAnchor>
    <xdr:from>
      <xdr:col>10</xdr:col>
      <xdr:colOff>933938</xdr:colOff>
      <xdr:row>24</xdr:row>
      <xdr:rowOff>5512</xdr:rowOff>
    </xdr:from>
    <xdr:to>
      <xdr:col>14</xdr:col>
      <xdr:colOff>349739</xdr:colOff>
      <xdr:row>26</xdr:row>
      <xdr:rowOff>158750</xdr:rowOff>
    </xdr:to>
    <xdr:sp macro="" textlink="">
      <xdr:nvSpPr>
        <xdr:cNvPr id="3" name="Speech Bubble: Rectangle 2">
          <a:extLst>
            <a:ext uri="{FF2B5EF4-FFF2-40B4-BE49-F238E27FC236}">
              <a16:creationId xmlns:a16="http://schemas.microsoft.com/office/drawing/2014/main" id="{00000000-0008-0000-0800-000003000000}"/>
            </a:ext>
          </a:extLst>
        </xdr:cNvPr>
        <xdr:cNvSpPr/>
      </xdr:nvSpPr>
      <xdr:spPr>
        <a:xfrm>
          <a:off x="9940355" y="6440179"/>
          <a:ext cx="3183467" cy="534238"/>
        </a:xfrm>
        <a:prstGeom prst="wedgeRectCallout">
          <a:avLst>
            <a:gd name="adj1" fmla="val -47155"/>
            <a:gd name="adj2" fmla="val -15057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L" sz="1000">
              <a:solidFill>
                <a:schemeClr val="tx1"/>
              </a:solidFill>
            </a:rPr>
            <a:t>Corresponde</a:t>
          </a:r>
          <a:r>
            <a:rPr lang="es-CL" sz="1000" baseline="0">
              <a:solidFill>
                <a:schemeClr val="tx1"/>
              </a:solidFill>
            </a:rPr>
            <a:t> al crédito por IDPC </a:t>
          </a:r>
          <a:r>
            <a:rPr lang="es-CL" sz="1000">
              <a:solidFill>
                <a:schemeClr val="tx1"/>
              </a:solidFill>
              <a:latin typeface="+mn-lt"/>
              <a:ea typeface="+mn-ea"/>
              <a:cs typeface="+mn-cs"/>
            </a:rPr>
            <a:t>asociado a las multas e intereses fiscales  ($140.000 * 0,111111)</a:t>
          </a:r>
        </a:p>
      </xdr:txBody>
    </xdr:sp>
    <xdr:clientData/>
  </xdr:twoCellAnchor>
  <xdr:twoCellAnchor>
    <xdr:from>
      <xdr:col>2</xdr:col>
      <xdr:colOff>733074</xdr:colOff>
      <xdr:row>23</xdr:row>
      <xdr:rowOff>35279</xdr:rowOff>
    </xdr:from>
    <xdr:to>
      <xdr:col>5</xdr:col>
      <xdr:colOff>320322</xdr:colOff>
      <xdr:row>25</xdr:row>
      <xdr:rowOff>169333</xdr:rowOff>
    </xdr:to>
    <xdr:sp macro="" textlink="">
      <xdr:nvSpPr>
        <xdr:cNvPr id="7" name="Speech Bubble: Rectangle 1">
          <a:extLst>
            <a:ext uri="{FF2B5EF4-FFF2-40B4-BE49-F238E27FC236}">
              <a16:creationId xmlns:a16="http://schemas.microsoft.com/office/drawing/2014/main" id="{00000000-0008-0000-0800-000007000000}"/>
            </a:ext>
          </a:extLst>
        </xdr:cNvPr>
        <xdr:cNvSpPr/>
      </xdr:nvSpPr>
      <xdr:spPr>
        <a:xfrm>
          <a:off x="1723674" y="5945012"/>
          <a:ext cx="2669115" cy="506588"/>
        </a:xfrm>
        <a:prstGeom prst="wedgeRectCallout">
          <a:avLst>
            <a:gd name="adj1" fmla="val 1040"/>
            <a:gd name="adj2" fmla="val -209136"/>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L" sz="1000">
              <a:solidFill>
                <a:schemeClr val="tx1"/>
              </a:solidFill>
            </a:rPr>
            <a:t>Imputación de retiros debe ser en orden cronológico.</a:t>
          </a:r>
        </a:p>
      </xdr:txBody>
    </xdr:sp>
    <xdr:clientData/>
  </xdr:twoCellAnchor>
  <xdr:twoCellAnchor>
    <xdr:from>
      <xdr:col>13</xdr:col>
      <xdr:colOff>476250</xdr:colOff>
      <xdr:row>18</xdr:row>
      <xdr:rowOff>84666</xdr:rowOff>
    </xdr:from>
    <xdr:to>
      <xdr:col>17</xdr:col>
      <xdr:colOff>348343</xdr:colOff>
      <xdr:row>20</xdr:row>
      <xdr:rowOff>108857</xdr:rowOff>
    </xdr:to>
    <xdr:sp macro="" textlink="">
      <xdr:nvSpPr>
        <xdr:cNvPr id="11" name="Speech Bubble: Rectangle 1">
          <a:extLst>
            <a:ext uri="{FF2B5EF4-FFF2-40B4-BE49-F238E27FC236}">
              <a16:creationId xmlns:a16="http://schemas.microsoft.com/office/drawing/2014/main" id="{00000000-0008-0000-0800-00000B000000}"/>
            </a:ext>
          </a:extLst>
        </xdr:cNvPr>
        <xdr:cNvSpPr/>
      </xdr:nvSpPr>
      <xdr:spPr>
        <a:xfrm>
          <a:off x="12668250" y="4754637"/>
          <a:ext cx="2985407" cy="426963"/>
        </a:xfrm>
        <a:prstGeom prst="wedgeRectCallout">
          <a:avLst>
            <a:gd name="adj1" fmla="val -64058"/>
            <a:gd name="adj2" fmla="val -23691"/>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mn-lt"/>
              <a:ea typeface="+mn-ea"/>
              <a:cs typeface="+mn-cs"/>
            </a:rPr>
            <a:t>El crédito IPE se asigna utilizando la tasa del 25% (35% - tasa IDPC 10%), con tope del Saldo en SAC.</a:t>
          </a:r>
          <a:endParaRPr kumimoji="0" lang="es-CL" sz="1000" b="0" i="0" u="none" strike="noStrike" kern="0" cap="none" spc="0" normalizeH="0" baseline="0">
            <a:ln>
              <a:noFill/>
            </a:ln>
            <a:solidFill>
              <a:schemeClr val="tx1"/>
            </a:solidFill>
            <a:effectLst/>
            <a:uLnTx/>
            <a:uFillTx/>
            <a:latin typeface="Calibri" panose="020F0502020204030204"/>
            <a:ea typeface="+mn-ea"/>
            <a:cs typeface="+mn-cs"/>
          </a:endParaRPr>
        </a:p>
      </xdr:txBody>
    </xdr:sp>
    <xdr:clientData/>
  </xdr:twoCellAnchor>
  <xdr:twoCellAnchor>
    <xdr:from>
      <xdr:col>15</xdr:col>
      <xdr:colOff>363652</xdr:colOff>
      <xdr:row>9</xdr:row>
      <xdr:rowOff>11906</xdr:rowOff>
    </xdr:from>
    <xdr:to>
      <xdr:col>19</xdr:col>
      <xdr:colOff>511968</xdr:colOff>
      <xdr:row>12</xdr:row>
      <xdr:rowOff>154780</xdr:rowOff>
    </xdr:to>
    <xdr:sp macro="" textlink="">
      <xdr:nvSpPr>
        <xdr:cNvPr id="12" name="Speech Bubble: Rectangle 1">
          <a:extLst>
            <a:ext uri="{FF2B5EF4-FFF2-40B4-BE49-F238E27FC236}">
              <a16:creationId xmlns:a16="http://schemas.microsoft.com/office/drawing/2014/main" id="{00000000-0008-0000-0800-00000C000000}"/>
            </a:ext>
          </a:extLst>
        </xdr:cNvPr>
        <xdr:cNvSpPr/>
      </xdr:nvSpPr>
      <xdr:spPr>
        <a:xfrm>
          <a:off x="13865340" y="2321719"/>
          <a:ext cx="2660534" cy="845342"/>
        </a:xfrm>
        <a:prstGeom prst="wedgeRectCallout">
          <a:avLst>
            <a:gd name="adj1" fmla="val -234291"/>
            <a:gd name="adj2" fmla="val 82592"/>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mn-lt"/>
              <a:ea typeface="+mn-ea"/>
              <a:cs typeface="+mn-cs"/>
            </a:rPr>
            <a:t>El crédito IDPC se debe registrar distinguiendo aquella parte que tiene derecho a devolución respecto de aquella no lo tiene por haber sido cubierto el IDPC con el crédito IPE.</a:t>
          </a:r>
          <a:endParaRPr kumimoji="0" lang="es-CL" sz="1000" b="0" i="0" u="none" strike="noStrike" kern="0" cap="none" spc="0" normalizeH="0" baseline="0">
            <a:ln>
              <a:noFill/>
            </a:ln>
            <a:solidFill>
              <a:schemeClr val="tx1"/>
            </a:solidFill>
            <a:effectLst/>
            <a:uLnTx/>
            <a:uFillTx/>
            <a:latin typeface="Calibri" panose="020F0502020204030204"/>
            <a:ea typeface="+mn-ea"/>
            <a:cs typeface="+mn-cs"/>
          </a:endParaRPr>
        </a:p>
      </xdr:txBody>
    </xdr:sp>
    <xdr:clientData/>
  </xdr:twoCellAnchor>
  <xdr:twoCellAnchor>
    <xdr:from>
      <xdr:col>15</xdr:col>
      <xdr:colOff>277814</xdr:colOff>
      <xdr:row>13</xdr:row>
      <xdr:rowOff>38363</xdr:rowOff>
    </xdr:from>
    <xdr:to>
      <xdr:col>19</xdr:col>
      <xdr:colOff>481013</xdr:colOff>
      <xdr:row>17</xdr:row>
      <xdr:rowOff>71437</xdr:rowOff>
    </xdr:to>
    <xdr:sp macro="" textlink="">
      <xdr:nvSpPr>
        <xdr:cNvPr id="8" name="Speech Bubble: Rectangle 1">
          <a:extLst>
            <a:ext uri="{FF2B5EF4-FFF2-40B4-BE49-F238E27FC236}">
              <a16:creationId xmlns:a16="http://schemas.microsoft.com/office/drawing/2014/main" id="{35E25451-7B8B-4A1D-9509-0322AED0A0F0}"/>
            </a:ext>
          </a:extLst>
        </xdr:cNvPr>
        <xdr:cNvSpPr/>
      </xdr:nvSpPr>
      <xdr:spPr>
        <a:xfrm>
          <a:off x="13779502" y="3276863"/>
          <a:ext cx="2715417" cy="795074"/>
        </a:xfrm>
        <a:prstGeom prst="wedgeRectCallout">
          <a:avLst>
            <a:gd name="adj1" fmla="val -61357"/>
            <a:gd name="adj2" fmla="val 2459"/>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Calibri" panose="020F0502020204030204"/>
              <a:ea typeface="+mn-ea"/>
              <a:cs typeface="+mn-cs"/>
            </a:rPr>
            <a:t>Debido a que se perciben créditos del registro SAC acumulados hasta el 31.12.2016, corresponde también incorporar al STUT el monto neto para efectos del cálculo de tasa TEF.</a:t>
          </a:r>
        </a:p>
      </xdr:txBody>
    </xdr:sp>
    <xdr:clientData/>
  </xdr:twoCellAnchor>
  <xdr:twoCellAnchor>
    <xdr:from>
      <xdr:col>15</xdr:col>
      <xdr:colOff>256647</xdr:colOff>
      <xdr:row>3</xdr:row>
      <xdr:rowOff>152400</xdr:rowOff>
    </xdr:from>
    <xdr:to>
      <xdr:col>19</xdr:col>
      <xdr:colOff>459846</xdr:colOff>
      <xdr:row>7</xdr:row>
      <xdr:rowOff>9524</xdr:rowOff>
    </xdr:to>
    <xdr:sp macro="" textlink="">
      <xdr:nvSpPr>
        <xdr:cNvPr id="10" name="Speech Bubble: Rectangle 1">
          <a:extLst>
            <a:ext uri="{FF2B5EF4-FFF2-40B4-BE49-F238E27FC236}">
              <a16:creationId xmlns:a16="http://schemas.microsoft.com/office/drawing/2014/main" id="{5142A64E-8CEC-4192-AC74-1920A55FF872}"/>
            </a:ext>
          </a:extLst>
        </xdr:cNvPr>
        <xdr:cNvSpPr/>
      </xdr:nvSpPr>
      <xdr:spPr>
        <a:xfrm>
          <a:off x="13782147" y="723900"/>
          <a:ext cx="2727324" cy="1085849"/>
        </a:xfrm>
        <a:prstGeom prst="wedgeRectCallout">
          <a:avLst>
            <a:gd name="adj1" fmla="val -89485"/>
            <a:gd name="adj2" fmla="val 46329"/>
          </a:avLst>
        </a:prstGeom>
        <a:solidFill>
          <a:schemeClr val="accent6">
            <a:lumMod val="60000"/>
            <a:lumOff val="40000"/>
          </a:schemeClr>
        </a:solidFill>
        <a:ln w="6350" cap="flat" cmpd="sng" algn="ctr">
          <a:solidFill>
            <a:schemeClr val="accent6">
              <a:lumMod val="60000"/>
              <a:lumOff val="40000"/>
            </a:scheme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Calibri" panose="020F0502020204030204"/>
              <a:ea typeface="+mn-ea"/>
              <a:cs typeface="+mn-cs"/>
            </a:rPr>
            <a:t>En su cálculo se debe considerar los saldos al cierre del ejercicio anterior (AT 2021) como aquellos montos que se incorporen durante el ejercicio (AT 2022) al percibir retiros o dividendos con créditos acumulados hasta el 31.12.2016.</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530703</xdr:colOff>
      <xdr:row>19</xdr:row>
      <xdr:rowOff>62548</xdr:rowOff>
    </xdr:from>
    <xdr:to>
      <xdr:col>5</xdr:col>
      <xdr:colOff>285434</xdr:colOff>
      <xdr:row>20</xdr:row>
      <xdr:rowOff>92233</xdr:rowOff>
    </xdr:to>
    <xdr:sp macro="" textlink="">
      <xdr:nvSpPr>
        <xdr:cNvPr id="2" name="Speech Bubble: Rectangle 1">
          <a:extLst>
            <a:ext uri="{FF2B5EF4-FFF2-40B4-BE49-F238E27FC236}">
              <a16:creationId xmlns:a16="http://schemas.microsoft.com/office/drawing/2014/main" id="{00000000-0008-0000-0900-000002000000}"/>
            </a:ext>
          </a:extLst>
        </xdr:cNvPr>
        <xdr:cNvSpPr/>
      </xdr:nvSpPr>
      <xdr:spPr>
        <a:xfrm>
          <a:off x="4912203" y="5170329"/>
          <a:ext cx="1290637" cy="232092"/>
        </a:xfrm>
        <a:prstGeom prst="wedgeRectCallout">
          <a:avLst>
            <a:gd name="adj1" fmla="val -20854"/>
            <a:gd name="adj2" fmla="val -95930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Reverso RAI</a:t>
          </a:r>
        </a:p>
      </xdr:txBody>
    </xdr:sp>
    <xdr:clientData/>
  </xdr:twoCellAnchor>
  <xdr:twoCellAnchor>
    <xdr:from>
      <xdr:col>1</xdr:col>
      <xdr:colOff>1771174</xdr:colOff>
      <xdr:row>19</xdr:row>
      <xdr:rowOff>65247</xdr:rowOff>
    </xdr:from>
    <xdr:to>
      <xdr:col>1</xdr:col>
      <xdr:colOff>3333750</xdr:colOff>
      <xdr:row>22</xdr:row>
      <xdr:rowOff>59531</xdr:rowOff>
    </xdr:to>
    <xdr:sp macro="" textlink="">
      <xdr:nvSpPr>
        <xdr:cNvPr id="4" name="Speech Bubble: Rectangle 1">
          <a:extLst>
            <a:ext uri="{FF2B5EF4-FFF2-40B4-BE49-F238E27FC236}">
              <a16:creationId xmlns:a16="http://schemas.microsoft.com/office/drawing/2014/main" id="{00000000-0008-0000-0900-000004000000}"/>
            </a:ext>
          </a:extLst>
        </xdr:cNvPr>
        <xdr:cNvSpPr/>
      </xdr:nvSpPr>
      <xdr:spPr>
        <a:xfrm>
          <a:off x="1890237" y="5173028"/>
          <a:ext cx="1562576" cy="601503"/>
        </a:xfrm>
        <a:prstGeom prst="wedgeRectCallout">
          <a:avLst>
            <a:gd name="adj1" fmla="val 108189"/>
            <a:gd name="adj2" fmla="val -36515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Corresponde</a:t>
          </a:r>
          <a:r>
            <a:rPr lang="es-CL" sz="1000" baseline="0">
              <a:solidFill>
                <a:schemeClr val="tx1"/>
              </a:solidFill>
              <a:latin typeface="Arial"/>
            </a:rPr>
            <a:t> al monto del RAI determinado al 31.12.2021.</a:t>
          </a:r>
          <a:endParaRPr lang="es-CL" sz="1000">
            <a:solidFill>
              <a:schemeClr val="tx1"/>
            </a:solidFill>
            <a:latin typeface="Arial"/>
          </a:endParaRPr>
        </a:p>
      </xdr:txBody>
    </xdr:sp>
    <xdr:clientData/>
  </xdr:twoCellAnchor>
  <xdr:twoCellAnchor>
    <xdr:from>
      <xdr:col>9</xdr:col>
      <xdr:colOff>149385</xdr:colOff>
      <xdr:row>18</xdr:row>
      <xdr:rowOff>138112</xdr:rowOff>
    </xdr:from>
    <xdr:to>
      <xdr:col>11</xdr:col>
      <xdr:colOff>563722</xdr:colOff>
      <xdr:row>22</xdr:row>
      <xdr:rowOff>51117</xdr:rowOff>
    </xdr:to>
    <xdr:sp macro="" textlink="">
      <xdr:nvSpPr>
        <xdr:cNvPr id="5" name="Speech Bubble: Rectangle 1">
          <a:extLst>
            <a:ext uri="{FF2B5EF4-FFF2-40B4-BE49-F238E27FC236}">
              <a16:creationId xmlns:a16="http://schemas.microsoft.com/office/drawing/2014/main" id="{00000000-0008-0000-0900-000005000000}"/>
            </a:ext>
          </a:extLst>
        </xdr:cNvPr>
        <xdr:cNvSpPr/>
      </xdr:nvSpPr>
      <xdr:spPr>
        <a:xfrm>
          <a:off x="8459948" y="5043487"/>
          <a:ext cx="1557337" cy="722630"/>
        </a:xfrm>
        <a:prstGeom prst="wedgeRectCallout">
          <a:avLst>
            <a:gd name="adj1" fmla="val 92201"/>
            <a:gd name="adj2" fmla="val -27595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Corresponde</a:t>
          </a:r>
          <a:r>
            <a:rPr lang="es-CL" sz="1000" baseline="0">
              <a:solidFill>
                <a:schemeClr val="tx1"/>
              </a:solidFill>
              <a:latin typeface="Arial"/>
            </a:rPr>
            <a:t> al monto percibido por concepto de  dividendos calificados como INR.</a:t>
          </a:r>
          <a:endParaRPr lang="es-CL" sz="1000">
            <a:solidFill>
              <a:schemeClr val="tx1"/>
            </a:solidFill>
            <a:latin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gerardo.escudero/Mis%20documentos/Escritorio/Great/Hoja%20de%20Trabajo/Cuadratura/Cuadratura%20DDJJ%20DGC%20V2%20Cuenta%20AT%2020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hilesii-my.sharepoint.com/TEMP/Archivos%20temporales%20de%20Internet/Content.Outlook/Q2W04AWC/F22%20%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rardo.escudero/Mis%20documentos/SBDF/Reforma%20Tributaria/Renta%20Atribuida/Prototipo/F22%20%202015%20Jose%20Luis%20Capdevi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s>
    <sheetDataSet>
      <sheetData sheetId="0"/>
      <sheetData sheetId="1"/>
      <sheetData sheetId="2"/>
      <sheetData sheetId="3">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Registrar "/>
      <sheetName val="AnversoAud"/>
      <sheetName val="ReversoAud"/>
      <sheetName val="Hoja1"/>
      <sheetName val="RUT"/>
    </sheetNames>
    <sheetDataSet>
      <sheetData sheetId="0" refreshError="1"/>
      <sheetData sheetId="1" refreshError="1"/>
      <sheetData sheetId="2" refreshError="1">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 val="AnversoAud"/>
      <sheetName val="ReversoAud"/>
      <sheetName val="RUT"/>
    </sheetNames>
    <sheetDataSet>
      <sheetData sheetId="0"/>
      <sheetData sheetId="1"/>
      <sheetData sheetId="2"/>
      <sheetData sheetId="3"/>
      <sheetData sheetId="4"/>
      <sheetData sheetId="5"/>
      <sheetData sheetId="6"/>
      <sheetData sheetId="7"/>
      <sheetData sheetId="8">
        <row r="1">
          <cell r="A1" t="str">
            <v>CODIGO</v>
          </cell>
          <cell r="B1" t="str">
            <v>VALOR</v>
          </cell>
        </row>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240742774</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133651231</v>
          </cell>
        </row>
        <row r="14">
          <cell r="A14">
            <v>36</v>
          </cell>
          <cell r="B14">
            <v>170000000</v>
          </cell>
        </row>
        <row r="15">
          <cell r="A15">
            <v>101</v>
          </cell>
          <cell r="B15">
            <v>865042582</v>
          </cell>
        </row>
        <row r="16">
          <cell r="A16">
            <v>104</v>
          </cell>
          <cell r="B16">
            <v>70000000</v>
          </cell>
        </row>
        <row r="17">
          <cell r="A17">
            <v>106</v>
          </cell>
          <cell r="B17">
            <v>19909096</v>
          </cell>
        </row>
        <row r="18">
          <cell r="A18">
            <v>123</v>
          </cell>
          <cell r="B18">
            <v>6092136925</v>
          </cell>
        </row>
        <row r="19">
          <cell r="A19">
            <v>152</v>
          </cell>
          <cell r="B19">
            <v>288270</v>
          </cell>
        </row>
        <row r="20">
          <cell r="A20">
            <v>157</v>
          </cell>
          <cell r="B20">
            <v>33959423</v>
          </cell>
        </row>
        <row r="21">
          <cell r="A21">
            <v>159</v>
          </cell>
          <cell r="B21">
            <v>14410393</v>
          </cell>
        </row>
        <row r="22">
          <cell r="A22">
            <v>162</v>
          </cell>
          <cell r="B22">
            <v>607262</v>
          </cell>
        </row>
        <row r="23">
          <cell r="A23">
            <v>170</v>
          </cell>
          <cell r="B23">
            <v>122412874</v>
          </cell>
        </row>
        <row r="24">
          <cell r="A24">
            <v>226</v>
          </cell>
          <cell r="B24">
            <v>70000000</v>
          </cell>
        </row>
        <row r="25">
          <cell r="A25">
            <v>304</v>
          </cell>
          <cell r="B25">
            <v>20932024</v>
          </cell>
        </row>
        <row r="26">
          <cell r="A26">
            <v>312</v>
          </cell>
          <cell r="B26">
            <v>782</v>
          </cell>
        </row>
        <row r="27">
          <cell r="A27">
            <v>600</v>
          </cell>
          <cell r="B27">
            <v>14337349</v>
          </cell>
        </row>
        <row r="28">
          <cell r="A28">
            <v>605</v>
          </cell>
          <cell r="B28">
            <v>8221</v>
          </cell>
        </row>
        <row r="29">
          <cell r="A29">
            <v>608</v>
          </cell>
          <cell r="B29">
            <v>720</v>
          </cell>
        </row>
        <row r="30">
          <cell r="A30">
            <v>614</v>
          </cell>
          <cell r="B30" t="str">
            <v>X</v>
          </cell>
        </row>
        <row r="31">
          <cell r="A31">
            <v>625</v>
          </cell>
          <cell r="B31">
            <v>802529575</v>
          </cell>
        </row>
        <row r="32">
          <cell r="A32">
            <v>627</v>
          </cell>
          <cell r="B32">
            <v>14337349</v>
          </cell>
        </row>
        <row r="33">
          <cell r="A33">
            <v>629</v>
          </cell>
          <cell r="B33">
            <v>272546304</v>
          </cell>
        </row>
        <row r="34">
          <cell r="A34">
            <v>631</v>
          </cell>
          <cell r="B34">
            <v>341666340</v>
          </cell>
        </row>
        <row r="35">
          <cell r="A35">
            <v>635</v>
          </cell>
          <cell r="B35">
            <v>784165723</v>
          </cell>
        </row>
        <row r="36">
          <cell r="A36">
            <v>637</v>
          </cell>
          <cell r="B36">
            <v>78300746</v>
          </cell>
        </row>
        <row r="37">
          <cell r="A37">
            <v>643</v>
          </cell>
          <cell r="B37">
            <v>668256153</v>
          </cell>
        </row>
        <row r="38">
          <cell r="A38">
            <v>647</v>
          </cell>
          <cell r="B38">
            <v>1243087760</v>
          </cell>
        </row>
        <row r="39">
          <cell r="A39">
            <v>774</v>
          </cell>
          <cell r="B39">
            <v>3712875536</v>
          </cell>
        </row>
        <row r="40">
          <cell r="A40">
            <v>785</v>
          </cell>
          <cell r="B40">
            <v>40230808</v>
          </cell>
        </row>
        <row r="41">
          <cell r="A41">
            <v>843</v>
          </cell>
          <cell r="B41">
            <v>3974488503</v>
          </cell>
        </row>
        <row r="42">
          <cell r="A42">
            <v>847</v>
          </cell>
          <cell r="B42">
            <v>14337349</v>
          </cell>
        </row>
        <row r="43">
          <cell r="A43">
            <v>874</v>
          </cell>
          <cell r="B43">
            <v>668256153</v>
          </cell>
        </row>
        <row r="44">
          <cell r="A44">
            <v>926</v>
          </cell>
          <cell r="B44">
            <v>40230808</v>
          </cell>
        </row>
        <row r="45">
          <cell r="A45">
            <v>934</v>
          </cell>
          <cell r="B45">
            <v>136917887</v>
          </cell>
        </row>
        <row r="46">
          <cell r="A46" t="str">
            <v>REMANENTE DE CREDITO</v>
          </cell>
          <cell r="B46">
            <v>0</v>
          </cell>
        </row>
        <row r="47">
          <cell r="A47">
            <v>52</v>
          </cell>
          <cell r="B47">
            <v>85</v>
          </cell>
        </row>
        <row r="48">
          <cell r="A48">
            <v>53</v>
          </cell>
          <cell r="B48">
            <v>86</v>
          </cell>
        </row>
        <row r="49">
          <cell r="A49">
            <v>0</v>
          </cell>
          <cell r="B49">
            <v>0</v>
          </cell>
        </row>
        <row r="50">
          <cell r="A50">
            <v>0</v>
          </cell>
          <cell r="B50">
            <v>0</v>
          </cell>
        </row>
        <row r="51">
          <cell r="A51">
            <v>0</v>
          </cell>
          <cell r="B51">
            <v>0</v>
          </cell>
        </row>
        <row r="52">
          <cell r="A52" t="str">
            <v>DEVOLUCION SOLICITADA</v>
          </cell>
          <cell r="B52">
            <v>0</v>
          </cell>
        </row>
        <row r="53">
          <cell r="A53">
            <v>0</v>
          </cell>
          <cell r="B53">
            <v>0</v>
          </cell>
        </row>
        <row r="54">
          <cell r="A54">
            <v>0</v>
          </cell>
          <cell r="B54">
            <v>0</v>
          </cell>
        </row>
        <row r="55">
          <cell r="A55">
            <v>0</v>
          </cell>
          <cell r="B55">
            <v>0</v>
          </cell>
        </row>
        <row r="56">
          <cell r="A56">
            <v>0</v>
          </cell>
          <cell r="B56">
            <v>87</v>
          </cell>
        </row>
        <row r="57">
          <cell r="A57">
            <v>0</v>
          </cell>
          <cell r="B57">
            <v>0</v>
          </cell>
        </row>
        <row r="58">
          <cell r="A58">
            <v>0</v>
          </cell>
          <cell r="B58">
            <v>0</v>
          </cell>
        </row>
        <row r="59">
          <cell r="A59">
            <v>0</v>
          </cell>
          <cell r="B59">
            <v>0</v>
          </cell>
        </row>
        <row r="60">
          <cell r="A60">
            <v>0</v>
          </cell>
          <cell r="B60">
            <v>0</v>
          </cell>
        </row>
        <row r="61">
          <cell r="A61" t="str">
            <v>Folio Formulario F01</v>
          </cell>
          <cell r="B61" t="str">
            <v>Fecha de movimiento F01</v>
          </cell>
        </row>
        <row r="62">
          <cell r="A62" t="str">
            <v>Folio rectificatoria</v>
          </cell>
          <cell r="B62" t="str">
            <v>Folio primitiva</v>
          </cell>
        </row>
        <row r="63">
          <cell r="A63">
            <v>0</v>
          </cell>
          <cell r="B63">
            <v>0</v>
          </cell>
        </row>
        <row r="64">
          <cell r="A64" t="str">
            <v xml:space="preserve">Esta copia de declaración no es válida como certificado. </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668256153</v>
          </cell>
        </row>
        <row r="96">
          <cell r="A96">
            <v>31</v>
          </cell>
          <cell r="B96">
            <v>20932024</v>
          </cell>
        </row>
        <row r="97">
          <cell r="A97">
            <v>53</v>
          </cell>
          <cell r="B97">
            <v>13</v>
          </cell>
        </row>
        <row r="98">
          <cell r="A98">
            <v>102</v>
          </cell>
          <cell r="B98">
            <v>6140228120</v>
          </cell>
        </row>
        <row r="99">
          <cell r="A99">
            <v>105</v>
          </cell>
          <cell r="B99">
            <v>38808</v>
          </cell>
        </row>
        <row r="100">
          <cell r="A100">
            <v>122</v>
          </cell>
          <cell r="B100">
            <v>6652866815</v>
          </cell>
        </row>
        <row r="101">
          <cell r="A101">
            <v>129</v>
          </cell>
          <cell r="B101">
            <v>352510806</v>
          </cell>
        </row>
        <row r="102">
          <cell r="A102">
            <v>155</v>
          </cell>
          <cell r="B102">
            <v>137790</v>
          </cell>
        </row>
        <row r="103">
          <cell r="A103">
            <v>158</v>
          </cell>
          <cell r="B103">
            <v>122412874</v>
          </cell>
        </row>
        <row r="104">
          <cell r="A104">
            <v>161</v>
          </cell>
          <cell r="B104">
            <v>18166429</v>
          </cell>
        </row>
        <row r="105">
          <cell r="A105">
            <v>169</v>
          </cell>
          <cell r="B105">
            <v>537912</v>
          </cell>
        </row>
        <row r="106">
          <cell r="A106">
            <v>225</v>
          </cell>
          <cell r="B106">
            <v>668256153</v>
          </cell>
        </row>
        <row r="107">
          <cell r="A107">
            <v>231</v>
          </cell>
          <cell r="B107">
            <v>4177480459</v>
          </cell>
        </row>
        <row r="108">
          <cell r="A108">
            <v>305</v>
          </cell>
          <cell r="B108">
            <v>-15416745</v>
          </cell>
        </row>
        <row r="109">
          <cell r="A109">
            <v>315</v>
          </cell>
          <cell r="B109">
            <v>8052014</v>
          </cell>
        </row>
        <row r="110">
          <cell r="A110">
            <v>601</v>
          </cell>
          <cell r="B110">
            <v>7848</v>
          </cell>
        </row>
        <row r="111">
          <cell r="A111">
            <v>606</v>
          </cell>
          <cell r="B111">
            <v>57629</v>
          </cell>
        </row>
        <row r="112">
          <cell r="A112">
            <v>610</v>
          </cell>
          <cell r="B112">
            <v>14410327</v>
          </cell>
        </row>
        <row r="113">
          <cell r="A113">
            <v>624</v>
          </cell>
          <cell r="B113">
            <v>107526263</v>
          </cell>
        </row>
        <row r="114">
          <cell r="A114">
            <v>626</v>
          </cell>
          <cell r="B114">
            <v>133651231</v>
          </cell>
        </row>
        <row r="115">
          <cell r="A115">
            <v>628</v>
          </cell>
          <cell r="B115">
            <v>76567411742</v>
          </cell>
        </row>
        <row r="116">
          <cell r="A116">
            <v>630</v>
          </cell>
          <cell r="B116">
            <v>75034864539</v>
          </cell>
        </row>
        <row r="117">
          <cell r="A117">
            <v>632</v>
          </cell>
          <cell r="B117">
            <v>40230808</v>
          </cell>
        </row>
        <row r="118">
          <cell r="A118">
            <v>636</v>
          </cell>
          <cell r="B118">
            <v>639030636</v>
          </cell>
        </row>
        <row r="119">
          <cell r="A119">
            <v>639</v>
          </cell>
          <cell r="B119">
            <v>107526263</v>
          </cell>
        </row>
        <row r="120">
          <cell r="A120">
            <v>645</v>
          </cell>
          <cell r="B120">
            <v>3974488503</v>
          </cell>
        </row>
        <row r="121">
          <cell r="A121">
            <v>749</v>
          </cell>
          <cell r="B121">
            <v>14410393</v>
          </cell>
        </row>
        <row r="122">
          <cell r="A122">
            <v>775</v>
          </cell>
          <cell r="B122">
            <v>110792920</v>
          </cell>
        </row>
        <row r="123">
          <cell r="A123">
            <v>838</v>
          </cell>
          <cell r="B123">
            <v>921843457</v>
          </cell>
        </row>
        <row r="124">
          <cell r="A124">
            <v>844</v>
          </cell>
          <cell r="B124">
            <v>149894480</v>
          </cell>
        </row>
        <row r="125">
          <cell r="A125">
            <v>849</v>
          </cell>
          <cell r="B125">
            <v>170000000</v>
          </cell>
        </row>
        <row r="126">
          <cell r="A126">
            <v>910</v>
          </cell>
          <cell r="B126">
            <v>1990910</v>
          </cell>
        </row>
        <row r="127">
          <cell r="A127">
            <v>927</v>
          </cell>
          <cell r="B127">
            <v>40230808</v>
          </cell>
        </row>
        <row r="128">
          <cell r="A128">
            <v>940</v>
          </cell>
          <cell r="B128">
            <v>122</v>
          </cell>
        </row>
        <row r="129">
          <cell r="A129">
            <v>0</v>
          </cell>
          <cell r="B129" t="str">
            <v>IMPTO. A PAGAR</v>
          </cell>
        </row>
        <row r="130">
          <cell r="A130">
            <v>15416745</v>
          </cell>
          <cell r="B130">
            <v>55</v>
          </cell>
        </row>
        <row r="131">
          <cell r="A131">
            <v>0</v>
          </cell>
          <cell r="B131">
            <v>56</v>
          </cell>
        </row>
        <row r="132">
          <cell r="A132">
            <v>0</v>
          </cell>
          <cell r="B132">
            <v>57</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15416745</v>
          </cell>
          <cell r="B139" t="str">
            <v>RECARGOS POR MORA EN EL PAGO</v>
          </cell>
        </row>
        <row r="140">
          <cell r="A140">
            <v>0</v>
          </cell>
          <cell r="B140">
            <v>58</v>
          </cell>
        </row>
        <row r="141">
          <cell r="A141">
            <v>0</v>
          </cell>
          <cell r="B141">
            <v>59</v>
          </cell>
        </row>
        <row r="142">
          <cell r="A142">
            <v>0</v>
          </cell>
          <cell r="B142">
            <v>60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15416745</v>
          </cell>
        </row>
        <row r="178">
          <cell r="A178">
            <v>86</v>
          </cell>
          <cell r="B178">
            <v>0</v>
          </cell>
        </row>
        <row r="179">
          <cell r="A179">
            <v>87</v>
          </cell>
          <cell r="B179">
            <v>15416745</v>
          </cell>
        </row>
        <row r="180">
          <cell r="A180">
            <v>90</v>
          </cell>
          <cell r="B180">
            <v>0</v>
          </cell>
        </row>
        <row r="181">
          <cell r="A181">
            <v>39</v>
          </cell>
          <cell r="B181">
            <v>0</v>
          </cell>
        </row>
        <row r="182">
          <cell r="A182">
            <v>91</v>
          </cell>
          <cell r="B182">
            <v>0</v>
          </cell>
        </row>
      </sheetData>
      <sheetData sheetId="9"/>
      <sheetData sheetId="10"/>
      <sheetData sheetId="11"/>
      <sheetData sheetId="12">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234710275</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169061221</v>
          </cell>
        </row>
        <row r="14">
          <cell r="A14">
            <v>36</v>
          </cell>
          <cell r="B14">
            <v>211624269</v>
          </cell>
        </row>
        <row r="15">
          <cell r="A15">
            <v>101</v>
          </cell>
          <cell r="B15">
            <v>6804780060</v>
          </cell>
        </row>
        <row r="16">
          <cell r="A16">
            <v>104</v>
          </cell>
          <cell r="B16">
            <v>70000000</v>
          </cell>
        </row>
        <row r="17">
          <cell r="A17">
            <v>122</v>
          </cell>
          <cell r="B17">
            <v>10096428698</v>
          </cell>
        </row>
        <row r="18">
          <cell r="A18">
            <v>129</v>
          </cell>
          <cell r="B18">
            <v>643484959</v>
          </cell>
        </row>
        <row r="19">
          <cell r="A19">
            <v>157</v>
          </cell>
          <cell r="B19">
            <v>32726375</v>
          </cell>
        </row>
        <row r="20">
          <cell r="A20">
            <v>159</v>
          </cell>
          <cell r="B20">
            <v>14419550</v>
          </cell>
        </row>
        <row r="21">
          <cell r="A21">
            <v>162</v>
          </cell>
          <cell r="B21">
            <v>667348</v>
          </cell>
        </row>
        <row r="22">
          <cell r="A22">
            <v>225</v>
          </cell>
          <cell r="B22">
            <v>805053431</v>
          </cell>
        </row>
        <row r="23">
          <cell r="A23">
            <v>231</v>
          </cell>
          <cell r="B23">
            <v>4459982927</v>
          </cell>
        </row>
        <row r="24">
          <cell r="A24">
            <v>305</v>
          </cell>
          <cell r="B24">
            <v>-23207586</v>
          </cell>
        </row>
        <row r="25">
          <cell r="A25">
            <v>315</v>
          </cell>
          <cell r="B25">
            <v>30042015</v>
          </cell>
        </row>
        <row r="26">
          <cell r="A26">
            <v>600</v>
          </cell>
          <cell r="B26">
            <v>14337330</v>
          </cell>
        </row>
        <row r="27">
          <cell r="A27">
            <v>610</v>
          </cell>
          <cell r="B27">
            <v>14419550</v>
          </cell>
        </row>
        <row r="28">
          <cell r="A28">
            <v>624</v>
          </cell>
          <cell r="B28">
            <v>138329024</v>
          </cell>
        </row>
        <row r="29">
          <cell r="A29">
            <v>626</v>
          </cell>
          <cell r="B29">
            <v>169061221</v>
          </cell>
        </row>
        <row r="30">
          <cell r="A30">
            <v>628</v>
          </cell>
          <cell r="B30">
            <v>92307030818</v>
          </cell>
        </row>
        <row r="31">
          <cell r="A31">
            <v>631</v>
          </cell>
          <cell r="B31">
            <v>667855260</v>
          </cell>
        </row>
        <row r="32">
          <cell r="A32">
            <v>635</v>
          </cell>
          <cell r="B32">
            <v>1222067834</v>
          </cell>
        </row>
        <row r="33">
          <cell r="A33">
            <v>637</v>
          </cell>
          <cell r="B33">
            <v>153478697</v>
          </cell>
        </row>
        <row r="34">
          <cell r="A34">
            <v>643</v>
          </cell>
          <cell r="B34">
            <v>805053431</v>
          </cell>
        </row>
        <row r="35">
          <cell r="A35">
            <v>647</v>
          </cell>
          <cell r="B35">
            <v>1279022451</v>
          </cell>
        </row>
        <row r="36">
          <cell r="A36">
            <v>749</v>
          </cell>
          <cell r="B36">
            <v>14419550</v>
          </cell>
        </row>
        <row r="37">
          <cell r="A37">
            <v>775</v>
          </cell>
          <cell r="B37">
            <v>148170665</v>
          </cell>
        </row>
        <row r="38">
          <cell r="A38">
            <v>838</v>
          </cell>
          <cell r="B38">
            <v>1017572795</v>
          </cell>
        </row>
        <row r="39">
          <cell r="A39">
            <v>844</v>
          </cell>
          <cell r="B39">
            <v>149894480</v>
          </cell>
        </row>
        <row r="40">
          <cell r="A40">
            <v>849</v>
          </cell>
          <cell r="B40">
            <v>211624269</v>
          </cell>
        </row>
        <row r="41">
          <cell r="A41">
            <v>910</v>
          </cell>
          <cell r="B41">
            <v>1715985</v>
          </cell>
        </row>
        <row r="42">
          <cell r="A42">
            <v>927</v>
          </cell>
          <cell r="B42">
            <v>37707777</v>
          </cell>
        </row>
        <row r="43">
          <cell r="A43" t="str">
            <v>REMANENTE DE CREDITO</v>
          </cell>
          <cell r="B43">
            <v>0</v>
          </cell>
        </row>
        <row r="44">
          <cell r="A44">
            <v>52</v>
          </cell>
          <cell r="B44">
            <v>85</v>
          </cell>
        </row>
        <row r="45">
          <cell r="A45">
            <v>53</v>
          </cell>
          <cell r="B45">
            <v>86</v>
          </cell>
        </row>
        <row r="46">
          <cell r="A46">
            <v>0</v>
          </cell>
          <cell r="B46">
            <v>0</v>
          </cell>
        </row>
        <row r="47">
          <cell r="A47">
            <v>0</v>
          </cell>
          <cell r="B47">
            <v>0</v>
          </cell>
        </row>
        <row r="48">
          <cell r="A48">
            <v>0</v>
          </cell>
          <cell r="B48">
            <v>0</v>
          </cell>
        </row>
        <row r="49">
          <cell r="A49" t="str">
            <v>DEVOLUCION SOLICITADA</v>
          </cell>
          <cell r="B49">
            <v>0</v>
          </cell>
        </row>
        <row r="50">
          <cell r="A50">
            <v>0</v>
          </cell>
          <cell r="B50">
            <v>0</v>
          </cell>
        </row>
        <row r="51">
          <cell r="A51">
            <v>0</v>
          </cell>
          <cell r="B51">
            <v>0</v>
          </cell>
        </row>
        <row r="52">
          <cell r="A52">
            <v>0</v>
          </cell>
          <cell r="B52">
            <v>0</v>
          </cell>
        </row>
        <row r="53">
          <cell r="A53">
            <v>0</v>
          </cell>
          <cell r="B53">
            <v>87</v>
          </cell>
        </row>
        <row r="54">
          <cell r="A54">
            <v>0</v>
          </cell>
          <cell r="B54">
            <v>0</v>
          </cell>
        </row>
        <row r="55">
          <cell r="A55">
            <v>0</v>
          </cell>
          <cell r="B55">
            <v>0</v>
          </cell>
        </row>
        <row r="56">
          <cell r="A56">
            <v>0</v>
          </cell>
          <cell r="B56">
            <v>0</v>
          </cell>
        </row>
        <row r="57">
          <cell r="A57">
            <v>0</v>
          </cell>
          <cell r="B57">
            <v>0</v>
          </cell>
        </row>
        <row r="58">
          <cell r="A58" t="str">
            <v>Folio Formulario F01</v>
          </cell>
          <cell r="B58" t="str">
            <v>Fecha de movimiento F01</v>
          </cell>
        </row>
        <row r="59">
          <cell r="A59" t="str">
            <v>Folio rectificatoria</v>
          </cell>
          <cell r="B59" t="str">
            <v>Folio primitiva</v>
          </cell>
        </row>
        <row r="60">
          <cell r="A60">
            <v>0</v>
          </cell>
          <cell r="B60">
            <v>0</v>
          </cell>
        </row>
        <row r="61">
          <cell r="A61" t="str">
            <v xml:space="preserve">Esta copia de declaración no es válida como certificado. </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805053431</v>
          </cell>
        </row>
        <row r="96">
          <cell r="A96">
            <v>31</v>
          </cell>
          <cell r="B96">
            <v>19355462</v>
          </cell>
        </row>
        <row r="97">
          <cell r="A97">
            <v>53</v>
          </cell>
          <cell r="B97">
            <v>13</v>
          </cell>
        </row>
        <row r="98">
          <cell r="A98">
            <v>102</v>
          </cell>
          <cell r="B98">
            <v>9601164052</v>
          </cell>
        </row>
        <row r="99">
          <cell r="A99">
            <v>106</v>
          </cell>
          <cell r="B99">
            <v>17159847</v>
          </cell>
        </row>
        <row r="100">
          <cell r="A100">
            <v>123</v>
          </cell>
          <cell r="B100">
            <v>9437609891</v>
          </cell>
        </row>
        <row r="101">
          <cell r="A101">
            <v>152</v>
          </cell>
          <cell r="B101">
            <v>403075</v>
          </cell>
        </row>
        <row r="102">
          <cell r="A102">
            <v>158</v>
          </cell>
          <cell r="B102">
            <v>121562418</v>
          </cell>
        </row>
        <row r="103">
          <cell r="A103">
            <v>161</v>
          </cell>
          <cell r="B103">
            <v>19579946</v>
          </cell>
        </row>
        <row r="104">
          <cell r="A104">
            <v>170</v>
          </cell>
          <cell r="B104">
            <v>121562418</v>
          </cell>
        </row>
        <row r="105">
          <cell r="A105">
            <v>226</v>
          </cell>
          <cell r="B105">
            <v>70000000</v>
          </cell>
        </row>
        <row r="106">
          <cell r="A106">
            <v>304</v>
          </cell>
          <cell r="B106">
            <v>19355462</v>
          </cell>
        </row>
        <row r="107">
          <cell r="A107">
            <v>312</v>
          </cell>
          <cell r="B107">
            <v>782</v>
          </cell>
        </row>
        <row r="108">
          <cell r="A108">
            <v>318</v>
          </cell>
          <cell r="B108">
            <v>178902862</v>
          </cell>
        </row>
        <row r="109">
          <cell r="A109">
            <v>606</v>
          </cell>
          <cell r="B109">
            <v>82220</v>
          </cell>
        </row>
        <row r="110">
          <cell r="A110">
            <v>614</v>
          </cell>
          <cell r="B110" t="str">
            <v>X</v>
          </cell>
        </row>
        <row r="111">
          <cell r="A111">
            <v>625</v>
          </cell>
          <cell r="B111">
            <v>862848904</v>
          </cell>
        </row>
        <row r="112">
          <cell r="A112">
            <v>627</v>
          </cell>
          <cell r="B112">
            <v>14337330</v>
          </cell>
        </row>
        <row r="113">
          <cell r="A113">
            <v>630</v>
          </cell>
          <cell r="B113">
            <v>89861665539</v>
          </cell>
        </row>
        <row r="114">
          <cell r="A114">
            <v>632</v>
          </cell>
          <cell r="B114">
            <v>37707777</v>
          </cell>
        </row>
        <row r="115">
          <cell r="A115">
            <v>636</v>
          </cell>
          <cell r="B115">
            <v>812297504</v>
          </cell>
        </row>
        <row r="116">
          <cell r="A116">
            <v>639</v>
          </cell>
          <cell r="B116">
            <v>146234624</v>
          </cell>
        </row>
        <row r="117">
          <cell r="A117">
            <v>645</v>
          </cell>
          <cell r="B117">
            <v>4871114998</v>
          </cell>
        </row>
        <row r="118">
          <cell r="A118">
            <v>651</v>
          </cell>
          <cell r="B118">
            <v>294563096</v>
          </cell>
        </row>
        <row r="119">
          <cell r="A119">
            <v>774</v>
          </cell>
          <cell r="B119">
            <v>3893990717</v>
          </cell>
        </row>
        <row r="120">
          <cell r="A120">
            <v>785</v>
          </cell>
          <cell r="B120">
            <v>37707777</v>
          </cell>
        </row>
        <row r="121">
          <cell r="A121">
            <v>843</v>
          </cell>
          <cell r="B121">
            <v>4871114998</v>
          </cell>
        </row>
        <row r="122">
          <cell r="A122">
            <v>847</v>
          </cell>
          <cell r="B122">
            <v>14337330</v>
          </cell>
        </row>
        <row r="123">
          <cell r="A123">
            <v>874</v>
          </cell>
          <cell r="B123">
            <v>805053431</v>
          </cell>
        </row>
        <row r="124">
          <cell r="A124">
            <v>926</v>
          </cell>
          <cell r="B124">
            <v>37707777</v>
          </cell>
        </row>
        <row r="125">
          <cell r="A125">
            <v>940</v>
          </cell>
          <cell r="B125">
            <v>420</v>
          </cell>
        </row>
        <row r="126">
          <cell r="A126">
            <v>0</v>
          </cell>
          <cell r="B126" t="str">
            <v>IMPTO. A PAGAR</v>
          </cell>
        </row>
        <row r="127">
          <cell r="A127">
            <v>23207586</v>
          </cell>
          <cell r="B127">
            <v>55</v>
          </cell>
        </row>
        <row r="128">
          <cell r="A128">
            <v>0</v>
          </cell>
          <cell r="B128">
            <v>56</v>
          </cell>
        </row>
        <row r="129">
          <cell r="A129">
            <v>0</v>
          </cell>
          <cell r="B129">
            <v>57</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23207586</v>
          </cell>
          <cell r="B136" t="str">
            <v>RECARGOS POR MORA EN EL PAGO</v>
          </cell>
        </row>
        <row r="137">
          <cell r="A137">
            <v>0</v>
          </cell>
          <cell r="B137">
            <v>58</v>
          </cell>
        </row>
        <row r="138">
          <cell r="A138">
            <v>0</v>
          </cell>
          <cell r="B138">
            <v>59</v>
          </cell>
        </row>
        <row r="139">
          <cell r="A139">
            <v>0</v>
          </cell>
          <cell r="B139">
            <v>60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23207586</v>
          </cell>
        </row>
        <row r="178">
          <cell r="A178">
            <v>86</v>
          </cell>
          <cell r="B178">
            <v>0</v>
          </cell>
        </row>
        <row r="179">
          <cell r="A179">
            <v>87</v>
          </cell>
          <cell r="B179">
            <v>23207586</v>
          </cell>
        </row>
        <row r="180">
          <cell r="A180">
            <v>90</v>
          </cell>
          <cell r="B180">
            <v>0</v>
          </cell>
        </row>
        <row r="181">
          <cell r="A181">
            <v>39</v>
          </cell>
          <cell r="B181">
            <v>0</v>
          </cell>
        </row>
        <row r="182">
          <cell r="A182">
            <v>91</v>
          </cell>
          <cell r="B182">
            <v>0</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W117"/>
  <sheetViews>
    <sheetView showGridLines="0" zoomScale="85" zoomScaleNormal="85" zoomScalePageLayoutView="85" workbookViewId="0">
      <selection activeCell="C13" sqref="C13"/>
    </sheetView>
  </sheetViews>
  <sheetFormatPr baseColWidth="10" defaultColWidth="9.140625" defaultRowHeight="15" x14ac:dyDescent="0.25"/>
  <cols>
    <col min="1" max="1" width="1.85546875" style="111" customWidth="1"/>
    <col min="2" max="2" width="4.42578125" style="111" bestFit="1" customWidth="1"/>
    <col min="3" max="3" width="29.85546875" style="111" customWidth="1"/>
    <col min="4" max="4" width="21.140625" style="111" customWidth="1"/>
    <col min="5" max="5" width="16.85546875" style="111" customWidth="1"/>
    <col min="6" max="6" width="14" style="111" customWidth="1"/>
    <col min="7" max="8" width="17.140625" style="111" customWidth="1"/>
    <col min="9" max="9" width="17" style="111" customWidth="1"/>
    <col min="10" max="10" width="14.42578125" style="110" customWidth="1"/>
    <col min="11" max="11" width="13.140625" style="110" customWidth="1"/>
    <col min="12" max="12" width="15.42578125" style="110" customWidth="1"/>
    <col min="13" max="13" width="13.42578125" style="110" customWidth="1"/>
    <col min="14" max="14" width="13.42578125" style="111" customWidth="1"/>
    <col min="15" max="15" width="14" style="111" customWidth="1"/>
    <col min="16" max="16" width="11.85546875" style="111" customWidth="1"/>
    <col min="17" max="16384" width="9.140625" style="111"/>
  </cols>
  <sheetData>
    <row r="2" spans="2:16" x14ac:dyDescent="0.25">
      <c r="B2" s="572" t="s">
        <v>238</v>
      </c>
      <c r="C2" s="573"/>
      <c r="D2" s="573"/>
      <c r="E2" s="573"/>
      <c r="F2" s="573"/>
      <c r="G2" s="573"/>
      <c r="H2" s="573"/>
      <c r="I2" s="573"/>
      <c r="J2" s="573"/>
      <c r="K2" s="573"/>
      <c r="L2" s="574"/>
      <c r="M2" s="139"/>
      <c r="N2" s="140"/>
      <c r="O2" s="140"/>
      <c r="P2" s="140"/>
    </row>
    <row r="3" spans="2:16" x14ac:dyDescent="0.25">
      <c r="B3" s="140"/>
      <c r="C3" s="140"/>
      <c r="D3" s="140"/>
      <c r="E3" s="140"/>
      <c r="F3" s="140"/>
      <c r="G3" s="140"/>
      <c r="H3" s="140"/>
      <c r="I3" s="140"/>
      <c r="J3" s="139"/>
      <c r="K3" s="139"/>
      <c r="L3" s="139"/>
      <c r="M3" s="139"/>
      <c r="N3" s="140"/>
      <c r="O3" s="140"/>
      <c r="P3" s="140"/>
    </row>
    <row r="4" spans="2:16" x14ac:dyDescent="0.25">
      <c r="B4" s="141" t="s">
        <v>595</v>
      </c>
      <c r="C4" s="140"/>
      <c r="D4" s="140"/>
      <c r="E4" s="140"/>
      <c r="F4" s="140"/>
      <c r="G4" s="140"/>
      <c r="H4" s="140"/>
      <c r="I4" s="140"/>
      <c r="J4" s="139"/>
      <c r="K4" s="139"/>
      <c r="L4" s="139"/>
      <c r="M4" s="139"/>
      <c r="N4" s="140"/>
      <c r="O4" s="140"/>
      <c r="P4" s="140"/>
    </row>
    <row r="5" spans="2:16" ht="15" customHeight="1" x14ac:dyDescent="0.25">
      <c r="B5" s="576" t="s">
        <v>492</v>
      </c>
      <c r="C5" s="580" t="s">
        <v>598</v>
      </c>
      <c r="D5" s="580"/>
      <c r="E5" s="580"/>
      <c r="F5" s="580"/>
      <c r="G5" s="580"/>
      <c r="H5" s="580"/>
      <c r="I5" s="580"/>
      <c r="J5" s="580"/>
      <c r="K5" s="580"/>
      <c r="L5" s="580"/>
      <c r="M5" s="142"/>
      <c r="N5" s="140"/>
      <c r="O5" s="140"/>
      <c r="P5" s="140"/>
    </row>
    <row r="6" spans="2:16" ht="15" customHeight="1" x14ac:dyDescent="0.25">
      <c r="B6" s="576"/>
      <c r="C6" s="580"/>
      <c r="D6" s="580"/>
      <c r="E6" s="580"/>
      <c r="F6" s="580"/>
      <c r="G6" s="580"/>
      <c r="H6" s="580"/>
      <c r="I6" s="580"/>
      <c r="J6" s="580"/>
      <c r="K6" s="580"/>
      <c r="L6" s="580"/>
      <c r="M6" s="142"/>
      <c r="N6" s="140"/>
      <c r="O6" s="140"/>
      <c r="P6" s="140"/>
    </row>
    <row r="7" spans="2:16" x14ac:dyDescent="0.25">
      <c r="B7" s="576"/>
      <c r="C7" s="580"/>
      <c r="D7" s="580"/>
      <c r="E7" s="580"/>
      <c r="F7" s="580"/>
      <c r="G7" s="580"/>
      <c r="H7" s="580"/>
      <c r="I7" s="580"/>
      <c r="J7" s="580"/>
      <c r="K7" s="580"/>
      <c r="L7" s="580"/>
      <c r="M7" s="142"/>
      <c r="N7" s="140"/>
      <c r="O7" s="140"/>
      <c r="P7" s="140"/>
    </row>
    <row r="8" spans="2:16" x14ac:dyDescent="0.25">
      <c r="B8" s="140"/>
      <c r="C8" s="140"/>
      <c r="D8" s="140"/>
      <c r="E8" s="140"/>
      <c r="F8" s="140"/>
      <c r="G8" s="140"/>
      <c r="H8" s="140"/>
      <c r="I8" s="140"/>
      <c r="J8" s="139"/>
      <c r="K8" s="139"/>
      <c r="L8" s="139"/>
      <c r="M8" s="139"/>
      <c r="N8" s="140"/>
      <c r="O8" s="140"/>
      <c r="P8" s="140"/>
    </row>
    <row r="9" spans="2:16" x14ac:dyDescent="0.25">
      <c r="B9" s="141" t="s">
        <v>493</v>
      </c>
      <c r="C9" s="577" t="s">
        <v>44</v>
      </c>
      <c r="D9" s="577"/>
      <c r="E9" s="577"/>
      <c r="F9" s="577"/>
      <c r="G9" s="577"/>
      <c r="H9" s="577"/>
      <c r="I9" s="577"/>
      <c r="J9" s="577"/>
      <c r="K9" s="577"/>
      <c r="L9" s="577"/>
      <c r="M9" s="139"/>
      <c r="N9" s="140"/>
      <c r="O9" s="140"/>
      <c r="P9" s="140"/>
    </row>
    <row r="10" spans="2:16" x14ac:dyDescent="0.25">
      <c r="B10" s="140"/>
      <c r="C10" s="577"/>
      <c r="D10" s="577"/>
      <c r="E10" s="577"/>
      <c r="F10" s="577"/>
      <c r="G10" s="577"/>
      <c r="H10" s="577"/>
      <c r="I10" s="577"/>
      <c r="J10" s="577"/>
      <c r="K10" s="577"/>
      <c r="L10" s="577"/>
      <c r="M10" s="139"/>
      <c r="N10" s="140"/>
      <c r="O10" s="140"/>
      <c r="P10" s="140"/>
    </row>
    <row r="11" spans="2:16" ht="25.5" x14ac:dyDescent="0.25">
      <c r="B11" s="140"/>
      <c r="C11" s="143"/>
      <c r="D11" s="143"/>
      <c r="E11" s="143"/>
      <c r="F11" s="143"/>
      <c r="G11" s="143"/>
      <c r="H11" s="143"/>
      <c r="I11" s="143"/>
      <c r="J11" s="144" t="s">
        <v>568</v>
      </c>
      <c r="K11" s="145" t="s">
        <v>578</v>
      </c>
      <c r="L11" s="145" t="s">
        <v>113</v>
      </c>
      <c r="M11" s="139"/>
      <c r="N11" s="140"/>
      <c r="O11" s="140"/>
      <c r="P11" s="140"/>
    </row>
    <row r="12" spans="2:16" x14ac:dyDescent="0.25">
      <c r="B12" s="140"/>
      <c r="C12" s="146" t="s">
        <v>114</v>
      </c>
      <c r="D12" s="146"/>
      <c r="E12" s="146"/>
      <c r="F12" s="146"/>
      <c r="G12" s="146"/>
      <c r="H12" s="146"/>
      <c r="I12" s="140"/>
      <c r="J12" s="147">
        <v>0.5</v>
      </c>
      <c r="K12" s="146">
        <v>15000000</v>
      </c>
      <c r="L12" s="146">
        <f>+K12*1.02</f>
        <v>15300000</v>
      </c>
      <c r="M12" s="140"/>
      <c r="N12" s="140"/>
      <c r="O12" s="140"/>
      <c r="P12" s="140"/>
    </row>
    <row r="13" spans="2:16" ht="15" customHeight="1" x14ac:dyDescent="0.25">
      <c r="B13" s="140"/>
      <c r="C13" s="146" t="s">
        <v>49</v>
      </c>
      <c r="D13" s="146"/>
      <c r="E13" s="146"/>
      <c r="F13" s="146"/>
      <c r="G13" s="146"/>
      <c r="H13" s="146"/>
      <c r="I13" s="140"/>
      <c r="J13" s="147">
        <v>0.5</v>
      </c>
      <c r="K13" s="146">
        <f>+K12</f>
        <v>15000000</v>
      </c>
      <c r="L13" s="146">
        <f>+K13*1.02</f>
        <v>15300000</v>
      </c>
      <c r="M13" s="140"/>
      <c r="N13" s="140"/>
      <c r="O13" s="140"/>
      <c r="P13" s="140"/>
    </row>
    <row r="14" spans="2:16" ht="15.75" thickBot="1" x14ac:dyDescent="0.3">
      <c r="B14" s="140"/>
      <c r="C14" s="146"/>
      <c r="D14" s="146" t="s">
        <v>579</v>
      </c>
      <c r="E14" s="146"/>
      <c r="F14" s="146"/>
      <c r="G14" s="146"/>
      <c r="H14" s="146"/>
      <c r="I14" s="146"/>
      <c r="J14" s="139"/>
      <c r="K14" s="148">
        <f>SUM(K12:K13)</f>
        <v>30000000</v>
      </c>
      <c r="L14" s="148">
        <f>SUM(L12:L13)</f>
        <v>30600000</v>
      </c>
      <c r="M14" s="140"/>
      <c r="N14" s="140"/>
      <c r="O14" s="140"/>
      <c r="P14" s="140"/>
    </row>
    <row r="15" spans="2:16" ht="15.75" thickTop="1" x14ac:dyDescent="0.25">
      <c r="B15" s="149"/>
      <c r="C15" s="575"/>
      <c r="D15" s="575"/>
      <c r="E15" s="575"/>
      <c r="F15" s="575"/>
      <c r="G15" s="575"/>
      <c r="H15" s="575"/>
      <c r="I15" s="575"/>
      <c r="J15" s="575"/>
      <c r="K15" s="575"/>
      <c r="L15" s="575"/>
      <c r="M15" s="139"/>
      <c r="N15" s="140"/>
      <c r="O15" s="140"/>
      <c r="P15" s="140"/>
    </row>
    <row r="16" spans="2:16" x14ac:dyDescent="0.25">
      <c r="B16" s="141" t="s">
        <v>494</v>
      </c>
      <c r="C16" s="150" t="s">
        <v>65</v>
      </c>
      <c r="D16" s="140"/>
      <c r="E16" s="140"/>
      <c r="F16" s="140"/>
      <c r="G16" s="140"/>
      <c r="H16" s="140"/>
      <c r="I16" s="140"/>
      <c r="J16" s="139"/>
      <c r="K16" s="139"/>
      <c r="L16" s="139"/>
      <c r="M16" s="139"/>
      <c r="N16" s="140"/>
      <c r="O16" s="140"/>
      <c r="P16" s="140"/>
    </row>
    <row r="17" spans="2:16" x14ac:dyDescent="0.25">
      <c r="B17" s="140"/>
      <c r="C17" s="140"/>
      <c r="D17" s="140"/>
      <c r="E17" s="140"/>
      <c r="F17" s="140"/>
      <c r="G17" s="140"/>
      <c r="H17" s="140"/>
      <c r="I17" s="140"/>
      <c r="J17" s="139"/>
      <c r="K17" s="139"/>
      <c r="L17" s="139"/>
      <c r="M17" s="139"/>
      <c r="N17" s="140"/>
      <c r="O17" s="140"/>
      <c r="P17" s="140"/>
    </row>
    <row r="18" spans="2:16" s="112" customFormat="1" ht="25.5" x14ac:dyDescent="0.2">
      <c r="B18" s="140"/>
      <c r="C18" s="151" t="s">
        <v>480</v>
      </c>
      <c r="D18" s="152"/>
      <c r="E18" s="152"/>
      <c r="F18" s="152"/>
      <c r="G18" s="152"/>
      <c r="H18" s="152"/>
      <c r="I18" s="152"/>
      <c r="J18" s="153" t="s">
        <v>580</v>
      </c>
      <c r="K18" s="153" t="s">
        <v>498</v>
      </c>
      <c r="L18" s="153" t="s">
        <v>497</v>
      </c>
      <c r="M18" s="139"/>
      <c r="N18" s="140"/>
      <c r="O18" s="140"/>
      <c r="P18" s="140"/>
    </row>
    <row r="19" spans="2:16" s="112" customFormat="1" ht="12.75" x14ac:dyDescent="0.2">
      <c r="B19" s="140"/>
      <c r="C19" s="154" t="s">
        <v>569</v>
      </c>
      <c r="D19" s="155"/>
      <c r="E19" s="155"/>
      <c r="F19" s="155"/>
      <c r="G19" s="155"/>
      <c r="H19" s="155"/>
      <c r="I19" s="155"/>
      <c r="J19" s="156"/>
      <c r="K19" s="156"/>
      <c r="L19" s="156"/>
      <c r="M19" s="139"/>
      <c r="N19" s="140"/>
      <c r="O19" s="140"/>
      <c r="P19" s="140"/>
    </row>
    <row r="20" spans="2:16" s="112" customFormat="1" ht="12.75" x14ac:dyDescent="0.2">
      <c r="B20" s="140"/>
      <c r="C20" s="589" t="s">
        <v>50</v>
      </c>
      <c r="D20" s="590"/>
      <c r="E20" s="590"/>
      <c r="F20" s="590"/>
      <c r="G20" s="590"/>
      <c r="H20" s="590"/>
      <c r="I20" s="591"/>
      <c r="J20" s="536">
        <v>95000000</v>
      </c>
      <c r="K20" s="157"/>
      <c r="L20" s="157">
        <f>+J20-K20</f>
        <v>95000000</v>
      </c>
      <c r="M20" s="139"/>
      <c r="N20" s="140"/>
      <c r="O20" s="140"/>
      <c r="P20" s="140"/>
    </row>
    <row r="21" spans="2:16" s="112" customFormat="1" ht="12.75" x14ac:dyDescent="0.2">
      <c r="B21" s="140"/>
      <c r="C21" s="592" t="s">
        <v>599</v>
      </c>
      <c r="D21" s="593"/>
      <c r="E21" s="593"/>
      <c r="F21" s="593"/>
      <c r="G21" s="593"/>
      <c r="H21" s="593"/>
      <c r="I21" s="594"/>
      <c r="J21" s="186">
        <v>8000000</v>
      </c>
      <c r="K21" s="159">
        <v>8000000</v>
      </c>
      <c r="L21" s="159">
        <f t="shared" ref="L21:L23" si="0">+J21-K21</f>
        <v>0</v>
      </c>
      <c r="M21" s="139"/>
      <c r="N21" s="140"/>
      <c r="O21" s="140"/>
      <c r="P21" s="140"/>
    </row>
    <row r="22" spans="2:16" s="112" customFormat="1" ht="12.75" x14ac:dyDescent="0.2">
      <c r="B22" s="160"/>
      <c r="C22" s="595" t="s">
        <v>51</v>
      </c>
      <c r="D22" s="596"/>
      <c r="E22" s="596"/>
      <c r="F22" s="596"/>
      <c r="G22" s="596"/>
      <c r="H22" s="596"/>
      <c r="I22" s="597"/>
      <c r="J22" s="535">
        <v>5000000</v>
      </c>
      <c r="K22" s="534">
        <v>5000000</v>
      </c>
      <c r="L22" s="159">
        <f t="shared" si="0"/>
        <v>0</v>
      </c>
      <c r="M22" s="139"/>
      <c r="N22" s="140"/>
      <c r="O22" s="140"/>
      <c r="P22" s="140"/>
    </row>
    <row r="23" spans="2:16" s="112" customFormat="1" ht="12.75" x14ac:dyDescent="0.2">
      <c r="B23" s="140"/>
      <c r="C23" s="568" t="s">
        <v>630</v>
      </c>
      <c r="D23" s="569"/>
      <c r="E23" s="569"/>
      <c r="F23" s="569"/>
      <c r="G23" s="569"/>
      <c r="H23" s="569"/>
      <c r="I23" s="570"/>
      <c r="J23" s="188">
        <v>8000000</v>
      </c>
      <c r="K23" s="161"/>
      <c r="L23" s="534">
        <f t="shared" si="0"/>
        <v>8000000</v>
      </c>
      <c r="M23" s="139"/>
      <c r="N23" s="140"/>
      <c r="O23" s="140"/>
      <c r="P23" s="140"/>
    </row>
    <row r="24" spans="2:16" s="112" customFormat="1" ht="13.5" thickBot="1" x14ac:dyDescent="0.25">
      <c r="B24" s="140"/>
      <c r="C24" s="162" t="s">
        <v>597</v>
      </c>
      <c r="D24" s="163"/>
      <c r="E24" s="164"/>
      <c r="F24" s="164"/>
      <c r="G24" s="164"/>
      <c r="H24" s="164"/>
      <c r="I24" s="164"/>
      <c r="J24" s="165">
        <f>SUM(J20:J23)</f>
        <v>116000000</v>
      </c>
      <c r="K24" s="166">
        <f>SUM(K20:K23)</f>
        <v>13000000</v>
      </c>
      <c r="L24" s="537">
        <f>SUM(L20:L23)</f>
        <v>103000000</v>
      </c>
      <c r="M24" s="139"/>
      <c r="N24" s="140"/>
      <c r="O24" s="140"/>
      <c r="P24" s="140"/>
    </row>
    <row r="25" spans="2:16" s="112" customFormat="1" ht="13.5" thickTop="1" x14ac:dyDescent="0.2">
      <c r="B25" s="140"/>
      <c r="C25" s="140"/>
      <c r="D25" s="140"/>
      <c r="E25" s="140"/>
      <c r="F25" s="140"/>
      <c r="G25" s="140"/>
      <c r="H25" s="140"/>
      <c r="I25" s="140"/>
      <c r="J25" s="139"/>
      <c r="K25" s="139"/>
      <c r="L25" s="139"/>
      <c r="M25" s="139"/>
      <c r="N25" s="140"/>
      <c r="O25" s="140"/>
      <c r="P25" s="140"/>
    </row>
    <row r="26" spans="2:16" s="112" customFormat="1" ht="12.75" x14ac:dyDescent="0.2">
      <c r="B26" s="140"/>
      <c r="C26" s="167" t="s">
        <v>485</v>
      </c>
      <c r="D26" s="152"/>
      <c r="E26" s="168"/>
      <c r="F26" s="169"/>
      <c r="G26" s="169"/>
      <c r="H26" s="169"/>
      <c r="I26" s="169"/>
      <c r="J26" s="170"/>
      <c r="K26" s="171"/>
      <c r="L26" s="153" t="s">
        <v>454</v>
      </c>
      <c r="M26" s="139"/>
      <c r="N26" s="140"/>
      <c r="O26" s="140"/>
      <c r="P26" s="140"/>
    </row>
    <row r="27" spans="2:16" s="112" customFormat="1" ht="12.75" x14ac:dyDescent="0.2">
      <c r="B27" s="140"/>
      <c r="C27" s="172" t="s">
        <v>465</v>
      </c>
      <c r="D27" s="173"/>
      <c r="E27" s="174"/>
      <c r="F27" s="175"/>
      <c r="G27" s="175"/>
      <c r="H27" s="175"/>
      <c r="I27" s="175"/>
      <c r="J27" s="176"/>
      <c r="K27" s="177"/>
      <c r="L27" s="159">
        <f>200000+92+17+8+4-2+5+1</f>
        <v>200125</v>
      </c>
      <c r="M27" s="139"/>
      <c r="N27" s="140"/>
      <c r="O27" s="140"/>
      <c r="P27" s="140"/>
    </row>
    <row r="28" spans="2:16" s="112" customFormat="1" ht="12.75" x14ac:dyDescent="0.2">
      <c r="B28" s="140"/>
      <c r="C28" s="172" t="s">
        <v>500</v>
      </c>
      <c r="D28" s="173"/>
      <c r="E28" s="174"/>
      <c r="F28" s="175"/>
      <c r="G28" s="175"/>
      <c r="H28" s="175"/>
      <c r="I28" s="175"/>
      <c r="J28" s="176"/>
      <c r="K28" s="177"/>
      <c r="L28" s="159">
        <v>8000000</v>
      </c>
      <c r="M28" s="139"/>
      <c r="N28" s="140"/>
      <c r="O28" s="140"/>
      <c r="P28" s="140"/>
    </row>
    <row r="29" spans="2:16" s="112" customFormat="1" ht="13.5" thickBot="1" x14ac:dyDescent="0.25">
      <c r="B29" s="140"/>
      <c r="C29" s="162" t="s">
        <v>479</v>
      </c>
      <c r="D29" s="163"/>
      <c r="E29" s="164"/>
      <c r="F29" s="164"/>
      <c r="G29" s="164"/>
      <c r="H29" s="164"/>
      <c r="I29" s="164"/>
      <c r="J29" s="178"/>
      <c r="K29" s="179"/>
      <c r="L29" s="166">
        <f>SUM(L27:L28)</f>
        <v>8200125</v>
      </c>
      <c r="M29" s="139"/>
      <c r="N29" s="140"/>
      <c r="O29" s="140"/>
      <c r="P29" s="140"/>
    </row>
    <row r="30" spans="2:16" s="112" customFormat="1" ht="13.5" thickTop="1" x14ac:dyDescent="0.2">
      <c r="B30" s="140"/>
      <c r="C30" s="180"/>
      <c r="D30" s="180"/>
      <c r="E30" s="175"/>
      <c r="F30" s="175"/>
      <c r="G30" s="175"/>
      <c r="H30" s="175"/>
      <c r="I30" s="175"/>
      <c r="J30" s="181"/>
      <c r="K30" s="181"/>
      <c r="L30" s="181"/>
      <c r="M30" s="139"/>
      <c r="N30" s="140"/>
      <c r="O30" s="140"/>
      <c r="P30" s="140"/>
    </row>
    <row r="31" spans="2:16" s="112" customFormat="1" ht="12.75" x14ac:dyDescent="0.2">
      <c r="B31" s="140"/>
      <c r="C31" s="167" t="s">
        <v>481</v>
      </c>
      <c r="D31" s="152"/>
      <c r="E31" s="168"/>
      <c r="F31" s="169"/>
      <c r="G31" s="182"/>
      <c r="H31" s="168" t="s">
        <v>484</v>
      </c>
      <c r="I31" s="183" t="s">
        <v>590</v>
      </c>
      <c r="J31" s="578" t="s">
        <v>473</v>
      </c>
      <c r="K31" s="579"/>
      <c r="L31" s="153" t="s">
        <v>455</v>
      </c>
      <c r="M31" s="139"/>
      <c r="N31" s="140"/>
      <c r="O31" s="140"/>
      <c r="P31" s="140"/>
    </row>
    <row r="32" spans="2:16" s="112" customFormat="1" ht="12.75" x14ac:dyDescent="0.2">
      <c r="B32" s="140"/>
      <c r="C32" s="172" t="s">
        <v>600</v>
      </c>
      <c r="D32" s="173" t="s">
        <v>474</v>
      </c>
      <c r="E32" s="174"/>
      <c r="F32" s="175"/>
      <c r="G32" s="175"/>
      <c r="H32" s="184" t="s">
        <v>396</v>
      </c>
      <c r="I32" s="185">
        <v>0.369863</v>
      </c>
      <c r="J32" s="583">
        <f>ROUND(+L32*I32,0)</f>
        <v>92466</v>
      </c>
      <c r="K32" s="584"/>
      <c r="L32" s="158">
        <v>250000</v>
      </c>
      <c r="M32" s="139"/>
      <c r="N32" s="140"/>
      <c r="O32" s="140"/>
      <c r="P32" s="140"/>
    </row>
    <row r="33" spans="2:23" s="112" customFormat="1" ht="12.75" x14ac:dyDescent="0.2">
      <c r="B33" s="140"/>
      <c r="C33" s="172" t="s">
        <v>475</v>
      </c>
      <c r="D33" s="173" t="s">
        <v>476</v>
      </c>
      <c r="E33" s="174"/>
      <c r="F33" s="175"/>
      <c r="G33" s="175"/>
      <c r="H33" s="184" t="s">
        <v>397</v>
      </c>
      <c r="I33" s="185">
        <v>0.111111</v>
      </c>
      <c r="J33" s="585">
        <f>ROUND(+L33*I33,0)</f>
        <v>22222</v>
      </c>
      <c r="K33" s="586"/>
      <c r="L33" s="158">
        <v>200000</v>
      </c>
      <c r="M33" s="139"/>
      <c r="N33" s="140"/>
      <c r="O33" s="140"/>
      <c r="P33" s="140"/>
    </row>
    <row r="34" spans="2:23" s="112" customFormat="1" ht="12.75" x14ac:dyDescent="0.2">
      <c r="B34" s="140"/>
      <c r="C34" s="172" t="s">
        <v>477</v>
      </c>
      <c r="D34" s="173" t="s">
        <v>478</v>
      </c>
      <c r="E34" s="174"/>
      <c r="F34" s="175"/>
      <c r="G34" s="175"/>
      <c r="H34" s="184" t="s">
        <v>398</v>
      </c>
      <c r="I34" s="185">
        <v>0.22874700000000001</v>
      </c>
      <c r="J34" s="585">
        <f>ROUND(+L34*I34,0)</f>
        <v>36600</v>
      </c>
      <c r="K34" s="586"/>
      <c r="L34" s="158">
        <v>160000</v>
      </c>
      <c r="M34" s="139"/>
      <c r="N34" s="140"/>
      <c r="O34" s="140"/>
      <c r="P34" s="140"/>
    </row>
    <row r="35" spans="2:23" s="112" customFormat="1" ht="12.75" x14ac:dyDescent="0.2">
      <c r="B35" s="140"/>
      <c r="C35" s="172" t="s">
        <v>235</v>
      </c>
      <c r="D35" s="180" t="s">
        <v>376</v>
      </c>
      <c r="E35" s="174"/>
      <c r="F35" s="175"/>
      <c r="G35" s="175"/>
      <c r="H35" s="175"/>
      <c r="I35" s="175"/>
      <c r="J35" s="186"/>
      <c r="K35" s="187"/>
      <c r="L35" s="158">
        <v>30000</v>
      </c>
      <c r="M35" s="139"/>
      <c r="N35" s="140"/>
      <c r="O35" s="140"/>
      <c r="P35" s="140"/>
    </row>
    <row r="36" spans="2:23" s="112" customFormat="1" ht="12.75" x14ac:dyDescent="0.2">
      <c r="B36" s="140"/>
      <c r="C36" s="172" t="s">
        <v>499</v>
      </c>
      <c r="D36" s="180"/>
      <c r="E36" s="174"/>
      <c r="F36" s="175"/>
      <c r="G36" s="175"/>
      <c r="H36" s="175"/>
      <c r="I36" s="175"/>
      <c r="J36" s="188"/>
      <c r="K36" s="189"/>
      <c r="L36" s="158">
        <v>80000</v>
      </c>
      <c r="M36" s="190"/>
      <c r="N36" s="140"/>
      <c r="O36" s="140"/>
      <c r="P36" s="140"/>
    </row>
    <row r="37" spans="2:23" s="112" customFormat="1" ht="15.75" customHeight="1" thickBot="1" x14ac:dyDescent="0.25">
      <c r="B37" s="140"/>
      <c r="C37" s="162" t="s">
        <v>482</v>
      </c>
      <c r="D37" s="163"/>
      <c r="E37" s="164"/>
      <c r="F37" s="164"/>
      <c r="G37" s="164"/>
      <c r="H37" s="164"/>
      <c r="I37" s="164"/>
      <c r="J37" s="587">
        <f>SUM(J32:J36)</f>
        <v>151288</v>
      </c>
      <c r="K37" s="588"/>
      <c r="L37" s="165">
        <f>SUM(L32:L36)</f>
        <v>720000</v>
      </c>
      <c r="M37" s="139"/>
      <c r="N37" s="140"/>
      <c r="O37" s="140"/>
      <c r="P37" s="140"/>
    </row>
    <row r="38" spans="2:23" s="112" customFormat="1" ht="13.5" thickTop="1" x14ac:dyDescent="0.2">
      <c r="B38" s="140"/>
      <c r="C38" s="140"/>
      <c r="D38" s="140"/>
      <c r="E38" s="140"/>
      <c r="F38" s="140"/>
      <c r="G38" s="140"/>
      <c r="H38" s="140"/>
      <c r="I38" s="140"/>
      <c r="J38" s="139"/>
      <c r="K38" s="139"/>
      <c r="L38" s="139"/>
      <c r="M38" s="139"/>
      <c r="N38" s="140"/>
      <c r="O38" s="140"/>
      <c r="P38" s="140"/>
    </row>
    <row r="39" spans="2:23" s="112" customFormat="1" ht="25.5" x14ac:dyDescent="0.2">
      <c r="B39" s="140"/>
      <c r="C39" s="167" t="s">
        <v>60</v>
      </c>
      <c r="D39" s="152"/>
      <c r="E39" s="168"/>
      <c r="F39" s="169"/>
      <c r="G39" s="169"/>
      <c r="H39" s="169"/>
      <c r="I39" s="169"/>
      <c r="J39" s="170"/>
      <c r="K39" s="171"/>
      <c r="L39" s="153" t="s">
        <v>146</v>
      </c>
      <c r="M39" s="139"/>
      <c r="N39" s="140"/>
      <c r="O39" s="140"/>
      <c r="P39" s="140"/>
    </row>
    <row r="40" spans="2:23" s="112" customFormat="1" ht="12.75" x14ac:dyDescent="0.2">
      <c r="B40" s="140"/>
      <c r="C40" s="522" t="s">
        <v>601</v>
      </c>
      <c r="D40" s="173"/>
      <c r="E40" s="174"/>
      <c r="F40" s="175"/>
      <c r="G40" s="175"/>
      <c r="H40" s="175"/>
      <c r="I40" s="175"/>
      <c r="J40" s="176"/>
      <c r="K40" s="177"/>
      <c r="L40" s="159">
        <f>'Crédito IPE'!K5</f>
        <v>8500</v>
      </c>
      <c r="M40" s="139"/>
      <c r="N40" s="140"/>
      <c r="O40" s="140"/>
      <c r="P40" s="140"/>
    </row>
    <row r="41" spans="2:23" s="112" customFormat="1" ht="13.5" thickBot="1" x14ac:dyDescent="0.25">
      <c r="B41" s="140"/>
      <c r="C41" s="162" t="s">
        <v>147</v>
      </c>
      <c r="D41" s="163"/>
      <c r="E41" s="164"/>
      <c r="F41" s="164"/>
      <c r="G41" s="164"/>
      <c r="H41" s="164"/>
      <c r="I41" s="164"/>
      <c r="J41" s="178"/>
      <c r="K41" s="179"/>
      <c r="L41" s="166">
        <f>SUM(L40:L40)</f>
        <v>8500</v>
      </c>
      <c r="M41" s="139"/>
      <c r="N41" s="140"/>
      <c r="O41" s="140"/>
      <c r="P41" s="140"/>
    </row>
    <row r="42" spans="2:23" s="112" customFormat="1" ht="13.5" thickTop="1" x14ac:dyDescent="0.2">
      <c r="B42" s="140"/>
      <c r="C42" s="173"/>
      <c r="D42" s="173"/>
      <c r="E42" s="175"/>
      <c r="F42" s="175"/>
      <c r="G42" s="175"/>
      <c r="H42" s="175"/>
      <c r="I42" s="175"/>
      <c r="J42" s="176"/>
      <c r="K42" s="191"/>
      <c r="L42" s="191"/>
      <c r="M42" s="139"/>
      <c r="N42" s="140"/>
      <c r="O42" s="140"/>
      <c r="P42" s="140"/>
    </row>
    <row r="43" spans="2:23" s="112" customFormat="1" ht="25.5" customHeight="1" x14ac:dyDescent="0.2">
      <c r="B43" s="140"/>
      <c r="C43" s="581" t="s">
        <v>483</v>
      </c>
      <c r="D43" s="582"/>
      <c r="E43" s="169"/>
      <c r="F43" s="169"/>
      <c r="G43" s="169"/>
      <c r="H43" s="169"/>
      <c r="I43" s="169"/>
      <c r="J43" s="153" t="s">
        <v>451</v>
      </c>
      <c r="K43" s="153" t="s">
        <v>458</v>
      </c>
      <c r="L43" s="153" t="s">
        <v>448</v>
      </c>
      <c r="M43" s="139"/>
      <c r="N43" s="140"/>
      <c r="O43" s="140"/>
      <c r="P43" s="140"/>
    </row>
    <row r="44" spans="2:23" s="112" customFormat="1" ht="12.75" customHeight="1" x14ac:dyDescent="0.2">
      <c r="B44" s="140"/>
      <c r="C44" s="192" t="s">
        <v>19</v>
      </c>
      <c r="D44" s="193"/>
      <c r="E44" s="193"/>
      <c r="F44" s="193"/>
      <c r="G44" s="193"/>
      <c r="H44" s="193"/>
      <c r="I44" s="193"/>
      <c r="J44" s="158">
        <v>26000000</v>
      </c>
      <c r="K44" s="158">
        <v>4000000</v>
      </c>
      <c r="L44" s="158">
        <f t="shared" ref="L44:L45" si="1">+J44-K44</f>
        <v>22000000</v>
      </c>
      <c r="M44" s="139"/>
      <c r="N44" s="140"/>
      <c r="O44" s="140"/>
      <c r="P44" s="140"/>
      <c r="U44" s="571"/>
      <c r="V44" s="571"/>
      <c r="W44" s="571"/>
    </row>
    <row r="45" spans="2:23" s="112" customFormat="1" ht="12.75" x14ac:dyDescent="0.2">
      <c r="B45" s="140"/>
      <c r="C45" s="194" t="s">
        <v>377</v>
      </c>
      <c r="D45" s="195"/>
      <c r="E45" s="195"/>
      <c r="F45" s="195"/>
      <c r="G45" s="195"/>
      <c r="H45" s="195"/>
      <c r="I45" s="195"/>
      <c r="J45" s="158">
        <v>2000000</v>
      </c>
      <c r="K45" s="158">
        <v>0</v>
      </c>
      <c r="L45" s="158">
        <f t="shared" si="1"/>
        <v>2000000</v>
      </c>
      <c r="M45" s="139"/>
      <c r="N45" s="140"/>
      <c r="O45" s="140"/>
      <c r="P45" s="140"/>
      <c r="U45" s="571"/>
      <c r="V45" s="571"/>
      <c r="W45" s="571"/>
    </row>
    <row r="46" spans="2:23" s="112" customFormat="1" ht="12.75" x14ac:dyDescent="0.2">
      <c r="B46" s="140"/>
      <c r="C46" s="194" t="s">
        <v>17</v>
      </c>
      <c r="D46" s="196"/>
      <c r="E46" s="197">
        <v>8350000</v>
      </c>
      <c r="F46" s="196"/>
      <c r="G46" s="196"/>
      <c r="H46" s="196"/>
      <c r="I46" s="196"/>
      <c r="J46" s="158"/>
      <c r="K46" s="158">
        <v>350000</v>
      </c>
      <c r="L46" s="158">
        <f>+E46-K46</f>
        <v>8000000</v>
      </c>
      <c r="M46" s="139"/>
      <c r="N46" s="140"/>
      <c r="O46" s="140"/>
      <c r="P46" s="140"/>
      <c r="U46" s="571"/>
      <c r="V46" s="571"/>
      <c r="W46" s="571"/>
    </row>
    <row r="47" spans="2:23" s="112" customFormat="1" ht="12.75" x14ac:dyDescent="0.2">
      <c r="B47" s="140"/>
      <c r="C47" s="528" t="s">
        <v>486</v>
      </c>
      <c r="D47" s="529" t="s">
        <v>18</v>
      </c>
      <c r="E47" s="530">
        <f>1000000/(1-11.5%)</f>
        <v>1129943.5028248588</v>
      </c>
      <c r="F47" s="529"/>
      <c r="G47" s="529"/>
      <c r="H47" s="211"/>
      <c r="I47" s="211"/>
      <c r="J47" s="158"/>
      <c r="K47" s="158">
        <f>ROUND(E47*11.5%,0)</f>
        <v>129944</v>
      </c>
      <c r="L47" s="158">
        <f>+E47-K47</f>
        <v>999999.50282485876</v>
      </c>
      <c r="M47" s="139"/>
      <c r="N47" s="140"/>
      <c r="O47" s="140"/>
      <c r="P47" s="140"/>
    </row>
    <row r="48" spans="2:23" s="112" customFormat="1" ht="12.75" x14ac:dyDescent="0.2">
      <c r="B48" s="140"/>
      <c r="C48" s="198" t="s">
        <v>487</v>
      </c>
      <c r="D48" s="199"/>
      <c r="E48" s="199"/>
      <c r="F48" s="199"/>
      <c r="G48" s="199"/>
      <c r="H48" s="199"/>
      <c r="I48" s="199"/>
      <c r="J48" s="158"/>
      <c r="K48" s="158"/>
      <c r="L48" s="158">
        <v>201000</v>
      </c>
      <c r="M48" s="139"/>
      <c r="N48" s="140"/>
      <c r="O48" s="140"/>
      <c r="P48" s="140"/>
    </row>
    <row r="49" spans="2:16" s="112" customFormat="1" ht="12.75" x14ac:dyDescent="0.2">
      <c r="B49" s="140"/>
      <c r="C49" s="198" t="s">
        <v>566</v>
      </c>
      <c r="D49" s="199"/>
      <c r="E49" s="199"/>
      <c r="F49" s="199"/>
      <c r="G49" s="199"/>
      <c r="H49" s="199"/>
      <c r="I49" s="199"/>
      <c r="J49" s="158"/>
      <c r="K49" s="158"/>
      <c r="L49" s="158">
        <v>860000</v>
      </c>
      <c r="M49" s="139"/>
      <c r="N49" s="140"/>
      <c r="O49" s="140"/>
      <c r="P49" s="140"/>
    </row>
    <row r="50" spans="2:16" s="112" customFormat="1" ht="12.75" x14ac:dyDescent="0.2">
      <c r="B50" s="140"/>
      <c r="C50" s="198" t="s">
        <v>20</v>
      </c>
      <c r="D50" s="199"/>
      <c r="E50" s="199"/>
      <c r="F50" s="199"/>
      <c r="G50" s="199"/>
      <c r="H50" s="199"/>
      <c r="I50" s="199"/>
      <c r="J50" s="158"/>
      <c r="K50" s="186"/>
      <c r="L50" s="534">
        <v>320000</v>
      </c>
      <c r="M50" s="139"/>
      <c r="N50" s="140"/>
      <c r="O50" s="140"/>
      <c r="P50" s="140"/>
    </row>
    <row r="51" spans="2:16" s="112" customFormat="1" ht="12.75" x14ac:dyDescent="0.2">
      <c r="B51" s="140"/>
      <c r="C51" s="198" t="s">
        <v>21</v>
      </c>
      <c r="D51" s="199"/>
      <c r="E51" s="199"/>
      <c r="F51" s="199"/>
      <c r="G51" s="199"/>
      <c r="H51" s="199"/>
      <c r="I51" s="199"/>
      <c r="J51" s="158"/>
      <c r="K51" s="186"/>
      <c r="L51" s="534">
        <v>185000</v>
      </c>
      <c r="M51" s="139"/>
      <c r="N51" s="140"/>
      <c r="O51" s="140"/>
      <c r="P51" s="140"/>
    </row>
    <row r="52" spans="2:16" s="112" customFormat="1" ht="12.75" x14ac:dyDescent="0.2">
      <c r="B52" s="140"/>
      <c r="C52" s="198" t="s">
        <v>22</v>
      </c>
      <c r="D52" s="199"/>
      <c r="E52" s="199"/>
      <c r="F52" s="199"/>
      <c r="G52" s="199"/>
      <c r="H52" s="199"/>
      <c r="I52" s="199"/>
      <c r="J52" s="158"/>
      <c r="K52" s="186"/>
      <c r="L52" s="534">
        <f>-'Determinacion RLI Año 2019'!H40</f>
        <v>2000000</v>
      </c>
      <c r="M52" s="139"/>
      <c r="N52" s="140"/>
      <c r="O52" s="140"/>
      <c r="P52" s="140"/>
    </row>
    <row r="53" spans="2:16" s="112" customFormat="1" ht="12.75" x14ac:dyDescent="0.2">
      <c r="B53" s="140"/>
      <c r="C53" s="194" t="s">
        <v>491</v>
      </c>
      <c r="D53" s="196"/>
      <c r="E53" s="200" t="s">
        <v>459</v>
      </c>
      <c r="F53" s="201">
        <v>220000</v>
      </c>
      <c r="G53" s="173" t="s">
        <v>501</v>
      </c>
      <c r="H53" s="140"/>
      <c r="I53" s="202">
        <v>280000</v>
      </c>
      <c r="J53" s="158"/>
      <c r="K53" s="186"/>
      <c r="L53" s="534">
        <f>+F53+I53</f>
        <v>500000</v>
      </c>
      <c r="M53" s="139"/>
      <c r="N53" s="140"/>
      <c r="O53" s="140"/>
      <c r="P53" s="140"/>
    </row>
    <row r="54" spans="2:16" s="112" customFormat="1" ht="12.75" x14ac:dyDescent="0.2">
      <c r="B54" s="140"/>
      <c r="C54" s="198" t="s">
        <v>378</v>
      </c>
      <c r="D54" s="199"/>
      <c r="E54" s="199"/>
      <c r="F54" s="199"/>
      <c r="G54" s="199"/>
      <c r="H54" s="199"/>
      <c r="I54" s="199"/>
      <c r="J54" s="158"/>
      <c r="K54" s="158"/>
      <c r="L54" s="158">
        <v>140000</v>
      </c>
      <c r="M54" s="139"/>
      <c r="N54" s="140"/>
      <c r="O54" s="140"/>
      <c r="P54" s="140"/>
    </row>
    <row r="55" spans="2:16" s="112" customFormat="1" ht="12.75" x14ac:dyDescent="0.2">
      <c r="B55" s="140"/>
      <c r="C55" s="198" t="s">
        <v>23</v>
      </c>
      <c r="D55" s="199"/>
      <c r="E55" s="199"/>
      <c r="F55" s="199"/>
      <c r="G55" s="199"/>
      <c r="H55" s="199"/>
      <c r="I55" s="199"/>
      <c r="J55" s="158"/>
      <c r="K55" s="158"/>
      <c r="L55" s="158">
        <v>2300000</v>
      </c>
      <c r="M55" s="139"/>
      <c r="N55" s="140"/>
      <c r="O55" s="140"/>
      <c r="P55" s="140"/>
    </row>
    <row r="56" spans="2:16" s="112" customFormat="1" ht="12.75" x14ac:dyDescent="0.2">
      <c r="B56" s="140"/>
      <c r="C56" s="198" t="s">
        <v>379</v>
      </c>
      <c r="D56" s="199"/>
      <c r="E56" s="199"/>
      <c r="F56" s="199"/>
      <c r="G56" s="199"/>
      <c r="H56" s="199"/>
      <c r="I56" s="199"/>
      <c r="J56" s="158"/>
      <c r="K56" s="158"/>
      <c r="L56" s="158">
        <f>+E88</f>
        <v>270000</v>
      </c>
      <c r="M56" s="139"/>
      <c r="N56" s="140"/>
      <c r="O56" s="140"/>
      <c r="P56" s="140"/>
    </row>
    <row r="57" spans="2:16" s="112" customFormat="1" ht="12.75" x14ac:dyDescent="0.2">
      <c r="B57" s="140"/>
      <c r="C57" s="203" t="s">
        <v>380</v>
      </c>
      <c r="D57" s="204"/>
      <c r="E57" s="204"/>
      <c r="F57" s="204"/>
      <c r="G57" s="204"/>
      <c r="H57" s="204"/>
      <c r="I57" s="204"/>
      <c r="J57" s="158"/>
      <c r="K57" s="158"/>
      <c r="L57" s="158">
        <f>+E82</f>
        <v>16000000</v>
      </c>
      <c r="M57" s="139"/>
      <c r="N57" s="140"/>
      <c r="O57" s="140"/>
      <c r="P57" s="140"/>
    </row>
    <row r="58" spans="2:16" s="112" customFormat="1" ht="13.5" thickBot="1" x14ac:dyDescent="0.25">
      <c r="B58" s="140"/>
      <c r="C58" s="162" t="s">
        <v>596</v>
      </c>
      <c r="D58" s="163"/>
      <c r="E58" s="164"/>
      <c r="F58" s="164"/>
      <c r="G58" s="164"/>
      <c r="H58" s="164"/>
      <c r="I58" s="164"/>
      <c r="J58" s="165">
        <f>SUM(J44:J57)</f>
        <v>28000000</v>
      </c>
      <c r="K58" s="165">
        <f>SUM(K44:K57)</f>
        <v>4479944</v>
      </c>
      <c r="L58" s="165">
        <f>SUM(L44:L57)</f>
        <v>55775999.502824858</v>
      </c>
      <c r="M58" s="139"/>
      <c r="N58" s="140"/>
      <c r="O58" s="140"/>
      <c r="P58" s="140"/>
    </row>
    <row r="59" spans="2:16" s="112" customFormat="1" ht="13.5" thickTop="1" x14ac:dyDescent="0.2">
      <c r="B59" s="140"/>
      <c r="C59" s="180"/>
      <c r="D59" s="180"/>
      <c r="E59" s="175"/>
      <c r="F59" s="175"/>
      <c r="G59" s="175"/>
      <c r="H59" s="175"/>
      <c r="I59" s="175"/>
      <c r="J59" s="205"/>
      <c r="K59" s="206"/>
      <c r="L59" s="205"/>
      <c r="M59" s="139"/>
      <c r="N59" s="140"/>
      <c r="O59" s="140"/>
      <c r="P59" s="140"/>
    </row>
    <row r="60" spans="2:16" s="112" customFormat="1" ht="12.75" x14ac:dyDescent="0.2">
      <c r="B60" s="140"/>
      <c r="C60" s="180"/>
      <c r="D60" s="180"/>
      <c r="E60" s="175"/>
      <c r="F60" s="175"/>
      <c r="G60" s="175"/>
      <c r="H60" s="175"/>
      <c r="I60" s="175"/>
      <c r="J60" s="205"/>
      <c r="K60" s="206"/>
      <c r="L60" s="205"/>
      <c r="M60" s="139"/>
      <c r="N60" s="140"/>
      <c r="O60" s="140"/>
      <c r="P60" s="140"/>
    </row>
    <row r="61" spans="2:16" s="112" customFormat="1" ht="12.75" x14ac:dyDescent="0.2">
      <c r="B61" s="141" t="s">
        <v>432</v>
      </c>
      <c r="C61" s="540" t="s">
        <v>24</v>
      </c>
      <c r="D61" s="540"/>
      <c r="E61" s="540"/>
      <c r="F61" s="540"/>
      <c r="G61" s="540"/>
      <c r="H61" s="140"/>
      <c r="I61" s="207">
        <v>54030000</v>
      </c>
      <c r="J61" s="139"/>
      <c r="K61" s="139"/>
      <c r="L61" s="139"/>
      <c r="M61" s="139"/>
      <c r="N61" s="140"/>
      <c r="O61" s="140"/>
      <c r="P61" s="140"/>
    </row>
    <row r="62" spans="2:16" s="112" customFormat="1" ht="8.25" customHeight="1" x14ac:dyDescent="0.2">
      <c r="B62" s="140"/>
      <c r="C62" s="173"/>
      <c r="D62" s="140"/>
      <c r="E62" s="140"/>
      <c r="F62" s="140"/>
      <c r="G62" s="140"/>
      <c r="H62" s="140"/>
      <c r="I62" s="140"/>
      <c r="J62" s="139"/>
      <c r="K62" s="139"/>
      <c r="L62" s="139"/>
      <c r="M62" s="139"/>
      <c r="N62" s="140"/>
      <c r="O62" s="140"/>
      <c r="P62" s="140"/>
    </row>
    <row r="63" spans="2:16" s="112" customFormat="1" ht="12.75" x14ac:dyDescent="0.2">
      <c r="B63" s="140"/>
      <c r="C63" s="140"/>
      <c r="D63" s="140"/>
      <c r="E63" s="140"/>
      <c r="F63" s="140"/>
      <c r="G63" s="140"/>
      <c r="H63" s="140"/>
      <c r="I63" s="140"/>
      <c r="J63" s="139"/>
      <c r="K63" s="139"/>
      <c r="L63" s="139"/>
      <c r="M63" s="139"/>
      <c r="N63" s="140"/>
      <c r="O63" s="140"/>
      <c r="P63" s="140"/>
    </row>
    <row r="64" spans="2:16" s="112" customFormat="1" ht="12.75" x14ac:dyDescent="0.2">
      <c r="B64" s="141" t="s">
        <v>67</v>
      </c>
      <c r="C64" s="208" t="s">
        <v>381</v>
      </c>
      <c r="D64" s="140"/>
      <c r="E64" s="140"/>
      <c r="F64" s="140"/>
      <c r="G64" s="140"/>
      <c r="H64" s="140"/>
      <c r="I64" s="140"/>
      <c r="J64" s="139"/>
      <c r="K64" s="139"/>
      <c r="L64" s="139"/>
      <c r="M64" s="139"/>
      <c r="N64" s="140"/>
      <c r="O64" s="140"/>
      <c r="P64" s="140"/>
    </row>
    <row r="65" spans="2:16" s="112" customFormat="1" ht="12.75" x14ac:dyDescent="0.2">
      <c r="B65" s="140"/>
      <c r="C65" s="140"/>
      <c r="D65" s="140"/>
      <c r="E65" s="140"/>
      <c r="F65" s="140"/>
      <c r="G65" s="140"/>
      <c r="H65" s="140"/>
      <c r="I65" s="140"/>
      <c r="J65" s="139"/>
      <c r="K65" s="139"/>
      <c r="L65" s="139"/>
      <c r="M65" s="139"/>
      <c r="N65" s="140"/>
      <c r="O65" s="140"/>
      <c r="P65" s="140"/>
    </row>
    <row r="66" spans="2:16" s="112" customFormat="1" ht="12.75" x14ac:dyDescent="0.2">
      <c r="B66" s="141" t="s">
        <v>456</v>
      </c>
      <c r="C66" s="140" t="s">
        <v>61</v>
      </c>
      <c r="D66" s="140"/>
      <c r="E66" s="140"/>
      <c r="F66" s="140"/>
      <c r="G66" s="140"/>
      <c r="H66" s="140"/>
      <c r="I66" s="140"/>
      <c r="J66" s="139"/>
      <c r="K66" s="139"/>
      <c r="L66" s="139"/>
      <c r="M66" s="139"/>
      <c r="N66" s="140"/>
      <c r="O66" s="140"/>
      <c r="P66" s="140"/>
    </row>
    <row r="67" spans="2:16" s="112" customFormat="1" ht="12.75" x14ac:dyDescent="0.2">
      <c r="B67" s="141"/>
      <c r="C67" s="140"/>
      <c r="D67" s="140"/>
      <c r="E67" s="140"/>
      <c r="F67" s="140"/>
      <c r="G67" s="140"/>
      <c r="H67" s="140"/>
      <c r="I67" s="140"/>
      <c r="J67" s="139"/>
      <c r="K67" s="139"/>
      <c r="L67" s="139"/>
      <c r="M67" s="139"/>
      <c r="N67" s="140"/>
      <c r="O67" s="140"/>
      <c r="P67" s="140"/>
    </row>
    <row r="68" spans="2:16" s="112" customFormat="1" ht="12.75" x14ac:dyDescent="0.2">
      <c r="B68" s="141"/>
      <c r="C68" s="140" t="s">
        <v>234</v>
      </c>
      <c r="D68" s="140"/>
      <c r="E68" s="209">
        <v>6.7000000000000004E-2</v>
      </c>
      <c r="F68" s="140"/>
      <c r="G68" s="140"/>
      <c r="H68" s="140"/>
      <c r="I68" s="140"/>
      <c r="J68" s="139"/>
      <c r="K68" s="139"/>
      <c r="L68" s="139"/>
      <c r="M68" s="139"/>
      <c r="N68" s="140"/>
      <c r="O68" s="140"/>
      <c r="P68" s="140"/>
    </row>
    <row r="69" spans="2:16" s="112" customFormat="1" ht="12.75" x14ac:dyDescent="0.2">
      <c r="B69" s="141"/>
      <c r="C69" s="210" t="s">
        <v>7</v>
      </c>
      <c r="D69" s="140"/>
      <c r="E69" s="209">
        <v>1.7999999999999999E-2</v>
      </c>
      <c r="F69" s="211"/>
      <c r="G69" s="211"/>
      <c r="H69" s="211"/>
      <c r="I69" s="211"/>
      <c r="J69" s="212"/>
      <c r="K69" s="212"/>
      <c r="L69" s="212"/>
      <c r="M69" s="139"/>
      <c r="N69" s="140"/>
      <c r="O69" s="140"/>
      <c r="P69" s="140"/>
    </row>
    <row r="70" spans="2:16" s="112" customFormat="1" ht="12.75" x14ac:dyDescent="0.2">
      <c r="B70" s="141"/>
      <c r="C70" s="210" t="s">
        <v>8</v>
      </c>
      <c r="D70" s="140"/>
      <c r="E70" s="209">
        <v>5.0000000000000001E-3</v>
      </c>
      <c r="F70" s="213"/>
      <c r="G70" s="211"/>
      <c r="H70" s="211"/>
      <c r="I70" s="211"/>
      <c r="J70" s="212"/>
      <c r="K70" s="212"/>
      <c r="L70" s="212"/>
      <c r="M70" s="139"/>
      <c r="N70" s="140"/>
      <c r="O70" s="140"/>
      <c r="P70" s="140"/>
    </row>
    <row r="71" spans="2:16" s="112" customFormat="1" ht="12.75" x14ac:dyDescent="0.2">
      <c r="B71" s="141"/>
      <c r="C71" s="140"/>
      <c r="D71" s="140"/>
      <c r="E71" s="140"/>
      <c r="F71" s="211"/>
      <c r="G71" s="211"/>
      <c r="H71" s="211"/>
      <c r="I71" s="211"/>
      <c r="J71" s="212"/>
      <c r="K71" s="212"/>
      <c r="L71" s="212"/>
      <c r="M71" s="139"/>
      <c r="N71" s="140"/>
      <c r="O71" s="140"/>
      <c r="P71" s="140"/>
    </row>
    <row r="72" spans="2:16" s="112" customFormat="1" ht="12.75" x14ac:dyDescent="0.2">
      <c r="B72" s="141" t="s">
        <v>457</v>
      </c>
      <c r="C72" s="140" t="s">
        <v>9</v>
      </c>
      <c r="D72" s="140"/>
      <c r="E72" s="214">
        <v>30991.74</v>
      </c>
      <c r="F72" s="140"/>
      <c r="G72" s="215"/>
      <c r="H72" s="140"/>
      <c r="I72" s="140"/>
      <c r="J72" s="139"/>
      <c r="K72" s="139"/>
      <c r="L72" s="139"/>
      <c r="M72" s="139"/>
      <c r="N72" s="140"/>
      <c r="O72" s="140"/>
      <c r="P72" s="140"/>
    </row>
    <row r="73" spans="2:16" s="112" customFormat="1" ht="12.75" x14ac:dyDescent="0.2">
      <c r="B73" s="141"/>
      <c r="C73" s="140"/>
      <c r="D73" s="140"/>
      <c r="E73" s="140"/>
      <c r="F73" s="140"/>
      <c r="G73" s="140"/>
      <c r="H73" s="140"/>
      <c r="I73" s="140"/>
      <c r="J73" s="139"/>
      <c r="K73" s="139"/>
      <c r="L73" s="139"/>
      <c r="M73" s="139"/>
      <c r="N73" s="140"/>
      <c r="O73" s="140"/>
      <c r="P73" s="140"/>
    </row>
    <row r="74" spans="2:16" s="112" customFormat="1" ht="12.75" x14ac:dyDescent="0.2">
      <c r="B74" s="141" t="s">
        <v>457</v>
      </c>
      <c r="C74" s="140" t="s">
        <v>460</v>
      </c>
      <c r="D74" s="140"/>
      <c r="E74" s="216">
        <v>0.1</v>
      </c>
      <c r="F74" s="217">
        <v>-1</v>
      </c>
      <c r="G74" s="216"/>
      <c r="H74" s="140"/>
      <c r="I74" s="140"/>
      <c r="J74" s="139"/>
      <c r="K74" s="139"/>
      <c r="L74" s="139"/>
      <c r="M74" s="139"/>
      <c r="N74" s="140"/>
      <c r="O74" s="140"/>
      <c r="P74" s="140"/>
    </row>
    <row r="75" spans="2:16" s="112" customFormat="1" ht="12.75" x14ac:dyDescent="0.2">
      <c r="B75" s="141"/>
      <c r="C75" s="140" t="s">
        <v>461</v>
      </c>
      <c r="D75" s="140"/>
      <c r="E75" s="218">
        <v>0.111111</v>
      </c>
      <c r="F75" s="217">
        <v>-2</v>
      </c>
      <c r="G75" s="218"/>
      <c r="H75" s="140"/>
      <c r="I75" s="140"/>
      <c r="J75" s="139"/>
      <c r="K75" s="139"/>
      <c r="L75" s="139"/>
      <c r="M75" s="139"/>
      <c r="N75" s="140"/>
      <c r="O75" s="140"/>
      <c r="P75" s="140"/>
    </row>
    <row r="76" spans="2:16" s="112" customFormat="1" ht="12.75" x14ac:dyDescent="0.2">
      <c r="B76" s="141"/>
      <c r="C76" s="219"/>
      <c r="D76" s="219"/>
      <c r="E76" s="219"/>
      <c r="F76" s="219"/>
      <c r="G76" s="219"/>
      <c r="H76" s="219"/>
      <c r="I76" s="219"/>
      <c r="J76" s="219"/>
      <c r="K76" s="219"/>
      <c r="L76" s="139"/>
      <c r="M76" s="139"/>
      <c r="N76" s="140"/>
      <c r="O76" s="140"/>
      <c r="P76" s="140"/>
    </row>
    <row r="77" spans="2:16" s="112" customFormat="1" ht="12.75" x14ac:dyDescent="0.2">
      <c r="B77" s="141" t="s">
        <v>462</v>
      </c>
      <c r="C77" s="140" t="s">
        <v>10</v>
      </c>
      <c r="D77" s="140"/>
      <c r="E77" s="140"/>
      <c r="F77" s="140"/>
      <c r="G77" s="140"/>
      <c r="H77" s="140"/>
      <c r="I77" s="140"/>
      <c r="J77" s="139"/>
      <c r="K77" s="139"/>
      <c r="L77" s="139"/>
      <c r="M77" s="139"/>
      <c r="N77" s="140"/>
      <c r="O77" s="140"/>
      <c r="P77" s="140"/>
    </row>
    <row r="78" spans="2:16" s="112" customFormat="1" ht="12.75" x14ac:dyDescent="0.2">
      <c r="B78" s="141"/>
      <c r="C78" s="140"/>
      <c r="D78" s="140"/>
      <c r="E78" s="140"/>
      <c r="F78" s="140"/>
      <c r="G78" s="140"/>
      <c r="H78" s="140"/>
      <c r="I78" s="140"/>
      <c r="J78" s="139"/>
      <c r="K78" s="139"/>
      <c r="L78" s="139"/>
      <c r="M78" s="139"/>
      <c r="N78" s="140"/>
      <c r="O78" s="140"/>
      <c r="P78" s="140"/>
    </row>
    <row r="79" spans="2:16" s="112" customFormat="1" ht="12.75" x14ac:dyDescent="0.2">
      <c r="B79" s="141"/>
      <c r="C79" s="555" t="s">
        <v>488</v>
      </c>
      <c r="D79" s="556"/>
      <c r="E79" s="153" t="s">
        <v>449</v>
      </c>
      <c r="F79" s="153" t="s">
        <v>590</v>
      </c>
      <c r="G79" s="153" t="s">
        <v>450</v>
      </c>
      <c r="H79" s="140"/>
      <c r="I79" s="140"/>
      <c r="J79" s="139"/>
      <c r="K79" s="139"/>
      <c r="L79" s="139"/>
      <c r="M79" s="139"/>
      <c r="N79" s="140"/>
      <c r="O79" s="140"/>
      <c r="P79" s="140"/>
    </row>
    <row r="80" spans="2:16" s="112" customFormat="1" ht="12.75" x14ac:dyDescent="0.2">
      <c r="B80" s="141"/>
      <c r="C80" s="154" t="s">
        <v>382</v>
      </c>
      <c r="D80" s="220">
        <v>44489</v>
      </c>
      <c r="E80" s="158">
        <v>8000000</v>
      </c>
      <c r="F80" s="221">
        <f>1+E69</f>
        <v>1.018</v>
      </c>
      <c r="G80" s="158">
        <f>ROUND(+E80*F80,0)</f>
        <v>8144000</v>
      </c>
      <c r="H80" s="140"/>
      <c r="I80" s="140"/>
      <c r="J80" s="139"/>
      <c r="K80" s="139"/>
      <c r="L80" s="139"/>
      <c r="M80" s="139"/>
      <c r="N80" s="140"/>
      <c r="O80" s="140"/>
      <c r="P80" s="140"/>
    </row>
    <row r="81" spans="1:16" s="112" customFormat="1" ht="12.75" x14ac:dyDescent="0.2">
      <c r="B81" s="141"/>
      <c r="C81" s="222" t="s">
        <v>383</v>
      </c>
      <c r="D81" s="223">
        <v>44520</v>
      </c>
      <c r="E81" s="158">
        <f>+E80</f>
        <v>8000000</v>
      </c>
      <c r="F81" s="221">
        <f>1+E70</f>
        <v>1.0049999999999999</v>
      </c>
      <c r="G81" s="158">
        <f t="shared" ref="G81" si="2">ROUND(+E81*F81,0)</f>
        <v>8040000</v>
      </c>
      <c r="H81" s="140"/>
      <c r="I81" s="140"/>
      <c r="J81" s="139"/>
      <c r="K81" s="139"/>
      <c r="L81" s="139"/>
      <c r="M81" s="139"/>
      <c r="N81" s="140"/>
      <c r="O81" s="140"/>
      <c r="P81" s="140"/>
    </row>
    <row r="82" spans="1:16" s="112" customFormat="1" ht="13.5" thickBot="1" x14ac:dyDescent="0.25">
      <c r="B82" s="141"/>
      <c r="C82" s="224" t="s">
        <v>490</v>
      </c>
      <c r="D82" s="225"/>
      <c r="E82" s="226">
        <f>SUM(E80:E81)</f>
        <v>16000000</v>
      </c>
      <c r="F82" s="227"/>
      <c r="G82" s="226">
        <f>SUM(G80:G81)</f>
        <v>16184000</v>
      </c>
      <c r="H82" s="140"/>
      <c r="I82" s="140"/>
      <c r="J82" s="139"/>
      <c r="K82" s="139"/>
      <c r="L82" s="139"/>
      <c r="M82" s="139"/>
      <c r="N82" s="140"/>
      <c r="O82" s="140"/>
      <c r="P82" s="140"/>
    </row>
    <row r="83" spans="1:16" s="112" customFormat="1" ht="13.5" thickTop="1" x14ac:dyDescent="0.2">
      <c r="B83" s="141"/>
      <c r="C83" s="180"/>
      <c r="D83" s="228"/>
      <c r="E83" s="205"/>
      <c r="F83" s="206"/>
      <c r="G83" s="205"/>
      <c r="H83" s="140"/>
      <c r="I83" s="140"/>
      <c r="J83" s="139"/>
      <c r="K83" s="139"/>
      <c r="L83" s="139"/>
      <c r="M83" s="139"/>
      <c r="N83" s="140"/>
      <c r="O83" s="140"/>
      <c r="P83" s="140"/>
    </row>
    <row r="84" spans="1:16" s="112" customFormat="1" ht="12.75" x14ac:dyDescent="0.2">
      <c r="B84" s="141" t="s">
        <v>463</v>
      </c>
      <c r="C84" s="140" t="s">
        <v>11</v>
      </c>
      <c r="D84" s="140"/>
      <c r="E84" s="139"/>
      <c r="F84" s="139"/>
      <c r="G84" s="139"/>
      <c r="H84" s="140"/>
      <c r="I84" s="140"/>
      <c r="J84" s="139"/>
      <c r="K84" s="139"/>
      <c r="L84" s="139"/>
      <c r="M84" s="139"/>
      <c r="N84" s="140"/>
      <c r="O84" s="140"/>
      <c r="P84" s="140"/>
    </row>
    <row r="85" spans="1:16" s="112" customFormat="1" ht="12.75" x14ac:dyDescent="0.2">
      <c r="B85" s="141"/>
      <c r="C85" s="555" t="s">
        <v>489</v>
      </c>
      <c r="D85" s="556"/>
      <c r="E85" s="153" t="s">
        <v>449</v>
      </c>
      <c r="F85" s="153" t="s">
        <v>590</v>
      </c>
      <c r="G85" s="153" t="s">
        <v>450</v>
      </c>
      <c r="H85" s="140"/>
      <c r="I85" s="140"/>
      <c r="J85" s="139"/>
      <c r="K85" s="139"/>
      <c r="L85" s="139"/>
      <c r="M85" s="139"/>
      <c r="N85" s="140"/>
      <c r="O85" s="140"/>
      <c r="P85" s="140"/>
    </row>
    <row r="86" spans="1:16" s="112" customFormat="1" ht="12.75" x14ac:dyDescent="0.2">
      <c r="B86" s="141"/>
      <c r="C86" s="229" t="s">
        <v>12</v>
      </c>
      <c r="D86" s="220"/>
      <c r="E86" s="158">
        <f>+J20*0.25%</f>
        <v>237500</v>
      </c>
      <c r="F86" s="221">
        <f>1+E69</f>
        <v>1.018</v>
      </c>
      <c r="G86" s="158">
        <f>ROUND(+E86*F86,0)</f>
        <v>241775</v>
      </c>
      <c r="H86" s="140"/>
      <c r="I86" s="139"/>
      <c r="J86" s="139"/>
      <c r="K86" s="139"/>
      <c r="L86" s="139"/>
      <c r="M86" s="139"/>
      <c r="N86" s="140"/>
      <c r="O86" s="140"/>
      <c r="P86" s="140"/>
    </row>
    <row r="87" spans="1:16" s="112" customFormat="1" ht="12.75" x14ac:dyDescent="0.2">
      <c r="B87" s="140"/>
      <c r="C87" s="222" t="s">
        <v>13</v>
      </c>
      <c r="D87" s="223"/>
      <c r="E87" s="158">
        <f>ROUND((J21+J22)*0.25%,0)</f>
        <v>32500</v>
      </c>
      <c r="F87" s="221">
        <f>1+E70</f>
        <v>1.0049999999999999</v>
      </c>
      <c r="G87" s="158">
        <f t="shared" ref="G87" si="3">ROUND(+E87*F87,0)</f>
        <v>32663</v>
      </c>
      <c r="H87" s="140"/>
      <c r="I87" s="139"/>
      <c r="J87" s="139"/>
      <c r="K87" s="139"/>
      <c r="L87" s="139"/>
      <c r="M87" s="139"/>
      <c r="N87" s="140"/>
      <c r="O87" s="140"/>
      <c r="P87" s="140"/>
    </row>
    <row r="88" spans="1:16" s="112" customFormat="1" ht="13.5" thickBot="1" x14ac:dyDescent="0.25">
      <c r="B88" s="140"/>
      <c r="C88" s="224" t="s">
        <v>45</v>
      </c>
      <c r="D88" s="230"/>
      <c r="E88" s="226">
        <f>SUM(E86:E87)</f>
        <v>270000</v>
      </c>
      <c r="F88" s="532"/>
      <c r="G88" s="533">
        <f>SUM(G86:G87)</f>
        <v>274438</v>
      </c>
      <c r="H88" s="140"/>
      <c r="I88" s="139"/>
      <c r="J88" s="139"/>
      <c r="K88" s="139"/>
      <c r="L88" s="139"/>
      <c r="M88" s="139"/>
      <c r="N88" s="140"/>
      <c r="O88" s="140"/>
      <c r="P88" s="140"/>
    </row>
    <row r="89" spans="1:16" s="112" customFormat="1" ht="13.5" thickTop="1" x14ac:dyDescent="0.2">
      <c r="B89" s="140"/>
      <c r="C89" s="140"/>
      <c r="D89" s="140"/>
      <c r="E89" s="140"/>
      <c r="F89" s="140"/>
      <c r="G89" s="140"/>
      <c r="H89" s="140"/>
      <c r="I89" s="140"/>
      <c r="J89" s="139"/>
      <c r="K89" s="139"/>
      <c r="L89" s="139"/>
      <c r="M89" s="139"/>
      <c r="N89" s="140"/>
      <c r="O89" s="140"/>
      <c r="P89" s="140"/>
    </row>
    <row r="90" spans="1:16" s="112" customFormat="1" ht="12.75" x14ac:dyDescent="0.2">
      <c r="B90" s="141"/>
      <c r="C90" s="557" t="s">
        <v>557</v>
      </c>
      <c r="D90" s="557"/>
      <c r="E90" s="557"/>
      <c r="F90" s="557"/>
      <c r="G90" s="557"/>
      <c r="H90" s="557"/>
      <c r="I90" s="557"/>
      <c r="J90" s="557"/>
      <c r="K90" s="557"/>
      <c r="L90" s="139"/>
      <c r="M90" s="139"/>
      <c r="N90" s="140"/>
      <c r="O90" s="140"/>
      <c r="P90" s="140"/>
    </row>
    <row r="91" spans="1:16" s="112" customFormat="1" ht="14.25" customHeight="1" x14ac:dyDescent="0.2">
      <c r="B91" s="141"/>
      <c r="C91" s="557"/>
      <c r="D91" s="557"/>
      <c r="E91" s="557"/>
      <c r="F91" s="557"/>
      <c r="G91" s="557"/>
      <c r="H91" s="557"/>
      <c r="I91" s="557"/>
      <c r="J91" s="557"/>
      <c r="K91" s="557"/>
      <c r="L91" s="139"/>
      <c r="M91" s="139"/>
      <c r="N91" s="140"/>
      <c r="O91" s="140"/>
      <c r="P91" s="140"/>
    </row>
    <row r="92" spans="1:16" s="112" customFormat="1" ht="14.25" customHeight="1" x14ac:dyDescent="0.2">
      <c r="B92" s="141"/>
      <c r="C92" s="554" t="s">
        <v>66</v>
      </c>
      <c r="D92" s="554"/>
      <c r="E92" s="554"/>
      <c r="F92" s="219"/>
      <c r="G92" s="219"/>
      <c r="H92" s="219"/>
      <c r="I92" s="219"/>
      <c r="J92" s="219"/>
      <c r="K92" s="219"/>
      <c r="L92" s="139"/>
      <c r="M92" s="139"/>
      <c r="N92" s="140"/>
      <c r="O92" s="140"/>
      <c r="P92" s="140"/>
    </row>
    <row r="93" spans="1:16" s="112" customFormat="1" ht="14.25" customHeight="1" x14ac:dyDescent="0.2">
      <c r="B93" s="141"/>
      <c r="C93" s="231"/>
      <c r="D93" s="231"/>
      <c r="E93" s="231"/>
      <c r="F93" s="219"/>
      <c r="G93" s="219"/>
      <c r="H93" s="219"/>
      <c r="I93" s="219"/>
      <c r="J93" s="219"/>
      <c r="K93" s="219"/>
      <c r="L93" s="139"/>
      <c r="M93" s="139"/>
      <c r="N93" s="140"/>
      <c r="O93" s="140"/>
      <c r="P93" s="140"/>
    </row>
    <row r="94" spans="1:16" s="112" customFormat="1" ht="12.75" x14ac:dyDescent="0.2">
      <c r="A94" s="140"/>
      <c r="B94" s="141" t="s">
        <v>68</v>
      </c>
      <c r="C94" s="539" t="s">
        <v>14</v>
      </c>
      <c r="D94" s="539"/>
      <c r="E94" s="539"/>
      <c r="F94" s="539"/>
      <c r="G94" s="539"/>
      <c r="H94" s="539"/>
      <c r="I94" s="539"/>
      <c r="J94" s="539"/>
      <c r="K94" s="139"/>
      <c r="L94" s="139"/>
      <c r="M94" s="139"/>
      <c r="N94" s="140"/>
      <c r="O94" s="140"/>
      <c r="P94" s="140"/>
    </row>
    <row r="95" spans="1:16" s="112" customFormat="1" ht="12.75" x14ac:dyDescent="0.2">
      <c r="A95" s="140"/>
      <c r="B95" s="140"/>
      <c r="C95" s="140"/>
      <c r="D95" s="140"/>
      <c r="E95" s="140"/>
      <c r="F95" s="140"/>
      <c r="G95" s="140"/>
      <c r="H95" s="140"/>
      <c r="I95" s="140"/>
      <c r="J95" s="139"/>
      <c r="K95" s="139"/>
      <c r="L95" s="139"/>
      <c r="M95" s="139"/>
      <c r="N95" s="140"/>
      <c r="O95" s="140"/>
      <c r="P95" s="140"/>
    </row>
    <row r="96" spans="1:16" x14ac:dyDescent="0.25">
      <c r="A96" s="140"/>
      <c r="B96" s="140"/>
      <c r="C96" s="541" t="s">
        <v>585</v>
      </c>
      <c r="D96" s="542"/>
      <c r="E96" s="542"/>
      <c r="F96" s="543"/>
      <c r="G96" s="550" t="s">
        <v>594</v>
      </c>
      <c r="H96" s="553" t="s">
        <v>581</v>
      </c>
      <c r="I96" s="553" t="s">
        <v>582</v>
      </c>
      <c r="J96" s="553"/>
      <c r="K96" s="558" t="s">
        <v>584</v>
      </c>
      <c r="L96" s="559"/>
      <c r="M96" s="559"/>
      <c r="N96" s="559"/>
      <c r="O96" s="559"/>
      <c r="P96" s="560"/>
    </row>
    <row r="97" spans="1:16" ht="38.25" x14ac:dyDescent="0.25">
      <c r="A97" s="140"/>
      <c r="B97" s="140"/>
      <c r="C97" s="544"/>
      <c r="D97" s="545"/>
      <c r="E97" s="545"/>
      <c r="F97" s="546"/>
      <c r="G97" s="551"/>
      <c r="H97" s="553"/>
      <c r="I97" s="561" t="s">
        <v>453</v>
      </c>
      <c r="J97" s="561" t="s">
        <v>559</v>
      </c>
      <c r="K97" s="562" t="s">
        <v>586</v>
      </c>
      <c r="L97" s="563"/>
      <c r="M97" s="563"/>
      <c r="N97" s="564"/>
      <c r="O97" s="232" t="s">
        <v>587</v>
      </c>
      <c r="P97" s="553" t="s">
        <v>588</v>
      </c>
    </row>
    <row r="98" spans="1:16" ht="25.5" x14ac:dyDescent="0.25">
      <c r="A98" s="140"/>
      <c r="B98" s="140"/>
      <c r="C98" s="544"/>
      <c r="D98" s="545"/>
      <c r="E98" s="545"/>
      <c r="F98" s="546"/>
      <c r="G98" s="551"/>
      <c r="H98" s="553"/>
      <c r="I98" s="561"/>
      <c r="J98" s="561"/>
      <c r="K98" s="562" t="s">
        <v>589</v>
      </c>
      <c r="L98" s="563"/>
      <c r="M98" s="564"/>
      <c r="N98" s="565" t="s">
        <v>58</v>
      </c>
      <c r="O98" s="232" t="s">
        <v>589</v>
      </c>
      <c r="P98" s="553"/>
    </row>
    <row r="99" spans="1:16" x14ac:dyDescent="0.25">
      <c r="A99" s="140"/>
      <c r="B99" s="140"/>
      <c r="C99" s="544"/>
      <c r="D99" s="545"/>
      <c r="E99" s="545"/>
      <c r="F99" s="546"/>
      <c r="G99" s="551"/>
      <c r="H99" s="553"/>
      <c r="I99" s="561"/>
      <c r="J99" s="561"/>
      <c r="K99" s="562" t="s">
        <v>590</v>
      </c>
      <c r="L99" s="564"/>
      <c r="M99" s="233">
        <v>0.111111</v>
      </c>
      <c r="N99" s="566"/>
      <c r="O99" s="531">
        <f>TRUNC(O102/P102,6)</f>
        <v>0.228746</v>
      </c>
      <c r="P99" s="553"/>
    </row>
    <row r="100" spans="1:16" ht="25.5" x14ac:dyDescent="0.25">
      <c r="A100" s="140"/>
      <c r="B100" s="140"/>
      <c r="C100" s="544"/>
      <c r="D100" s="545"/>
      <c r="E100" s="545"/>
      <c r="F100" s="546"/>
      <c r="G100" s="551"/>
      <c r="H100" s="553"/>
      <c r="I100" s="561"/>
      <c r="J100" s="561"/>
      <c r="K100" s="562" t="s">
        <v>591</v>
      </c>
      <c r="L100" s="564"/>
      <c r="M100" s="234" t="s">
        <v>410</v>
      </c>
      <c r="N100" s="567"/>
      <c r="O100" s="561" t="s">
        <v>592</v>
      </c>
      <c r="P100" s="553"/>
    </row>
    <row r="101" spans="1:16" ht="25.5" x14ac:dyDescent="0.25">
      <c r="A101" s="140"/>
      <c r="B101" s="140"/>
      <c r="C101" s="547"/>
      <c r="D101" s="548"/>
      <c r="E101" s="548"/>
      <c r="F101" s="549"/>
      <c r="G101" s="552"/>
      <c r="H101" s="553"/>
      <c r="I101" s="561"/>
      <c r="J101" s="561"/>
      <c r="K101" s="235" t="s">
        <v>57</v>
      </c>
      <c r="L101" s="235" t="s">
        <v>592</v>
      </c>
      <c r="M101" s="235" t="s">
        <v>592</v>
      </c>
      <c r="N101" s="235" t="s">
        <v>57</v>
      </c>
      <c r="O101" s="561"/>
      <c r="P101" s="553"/>
    </row>
    <row r="102" spans="1:16" x14ac:dyDescent="0.25">
      <c r="A102" s="140"/>
      <c r="B102" s="140"/>
      <c r="C102" s="538" t="s">
        <v>237</v>
      </c>
      <c r="D102" s="538"/>
      <c r="E102" s="538"/>
      <c r="F102" s="538"/>
      <c r="G102" s="236">
        <f t="shared" ref="G102" si="4">SUM(H102:J102)</f>
        <v>23430000</v>
      </c>
      <c r="H102" s="236">
        <v>23350000</v>
      </c>
      <c r="I102" s="236">
        <f>+Antecedentes!F176</f>
        <v>0</v>
      </c>
      <c r="J102" s="236">
        <v>80000</v>
      </c>
      <c r="K102" s="236">
        <v>0</v>
      </c>
      <c r="L102" s="236">
        <v>1028889</v>
      </c>
      <c r="M102" s="236">
        <v>92466</v>
      </c>
      <c r="N102" s="236">
        <v>0</v>
      </c>
      <c r="O102" s="236">
        <v>34312</v>
      </c>
      <c r="P102" s="236">
        <v>150000</v>
      </c>
    </row>
    <row r="103" spans="1:16" x14ac:dyDescent="0.25">
      <c r="A103" s="140"/>
      <c r="B103" s="140"/>
      <c r="C103" s="140"/>
      <c r="D103" s="140"/>
      <c r="E103" s="140"/>
      <c r="F103" s="140"/>
      <c r="G103" s="140"/>
      <c r="H103" s="140"/>
      <c r="I103" s="140"/>
      <c r="J103" s="139"/>
      <c r="K103" s="139"/>
      <c r="L103" s="139"/>
      <c r="M103" s="139"/>
      <c r="N103" s="140"/>
      <c r="O103" s="140"/>
      <c r="P103" s="140"/>
    </row>
    <row r="104" spans="1:16" x14ac:dyDescent="0.25">
      <c r="A104" s="140"/>
      <c r="B104" s="140"/>
      <c r="C104" s="140"/>
      <c r="D104" s="140"/>
      <c r="E104" s="140"/>
      <c r="F104" s="140"/>
      <c r="G104" s="140"/>
      <c r="H104" s="140"/>
      <c r="I104" s="140"/>
      <c r="J104" s="139"/>
      <c r="K104" s="139"/>
      <c r="L104" s="139"/>
      <c r="M104" s="139"/>
      <c r="N104" s="140"/>
      <c r="O104" s="140"/>
      <c r="P104" s="140"/>
    </row>
    <row r="105" spans="1:16" x14ac:dyDescent="0.25">
      <c r="A105" s="140"/>
      <c r="B105" s="140"/>
      <c r="C105" s="140"/>
      <c r="D105" s="140"/>
      <c r="E105" s="140"/>
      <c r="F105" s="140"/>
      <c r="G105" s="140"/>
      <c r="H105" s="140"/>
      <c r="I105" s="140"/>
      <c r="J105" s="139"/>
      <c r="K105" s="139"/>
      <c r="L105" s="139"/>
      <c r="M105" s="139"/>
      <c r="N105" s="140"/>
      <c r="O105" s="140"/>
      <c r="P105" s="140"/>
    </row>
    <row r="106" spans="1:16" x14ac:dyDescent="0.25">
      <c r="B106" s="140"/>
      <c r="C106" s="140"/>
      <c r="D106" s="140"/>
      <c r="E106" s="140"/>
      <c r="F106" s="140"/>
      <c r="G106" s="140"/>
      <c r="H106" s="140"/>
      <c r="I106" s="140"/>
      <c r="J106" s="139"/>
      <c r="K106" s="139"/>
      <c r="L106" s="139"/>
      <c r="M106" s="139"/>
      <c r="N106" s="140"/>
      <c r="O106" s="140"/>
      <c r="P106" s="140"/>
    </row>
    <row r="107" spans="1:16" x14ac:dyDescent="0.25">
      <c r="B107" s="140"/>
      <c r="C107" s="140"/>
      <c r="D107" s="140"/>
      <c r="E107" s="140"/>
      <c r="F107" s="140"/>
      <c r="G107" s="140"/>
      <c r="H107" s="140"/>
      <c r="I107" s="140"/>
      <c r="J107" s="139"/>
      <c r="K107" s="139"/>
      <c r="L107" s="139"/>
      <c r="M107" s="139"/>
      <c r="N107" s="140"/>
      <c r="O107" s="140"/>
      <c r="P107" s="140"/>
    </row>
    <row r="108" spans="1:16" x14ac:dyDescent="0.25">
      <c r="B108" s="140"/>
      <c r="C108" s="140"/>
      <c r="D108" s="140"/>
      <c r="E108" s="140"/>
      <c r="F108" s="140"/>
      <c r="G108" s="140"/>
      <c r="H108" s="140"/>
      <c r="I108" s="140"/>
      <c r="J108" s="139"/>
      <c r="K108" s="139"/>
      <c r="L108" s="139"/>
      <c r="M108" s="139"/>
      <c r="N108" s="140"/>
      <c r="O108" s="140"/>
      <c r="P108" s="140"/>
    </row>
    <row r="109" spans="1:16" x14ac:dyDescent="0.25">
      <c r="B109" s="140"/>
      <c r="C109" s="140"/>
      <c r="D109" s="140"/>
      <c r="E109" s="140"/>
      <c r="F109" s="140"/>
      <c r="G109" s="140"/>
      <c r="H109" s="140"/>
      <c r="I109" s="140"/>
      <c r="J109" s="139"/>
      <c r="K109" s="139"/>
      <c r="L109" s="139"/>
      <c r="M109" s="139"/>
      <c r="N109" s="140"/>
      <c r="O109" s="140"/>
      <c r="P109" s="140"/>
    </row>
    <row r="110" spans="1:16" x14ac:dyDescent="0.25">
      <c r="B110" s="140"/>
      <c r="C110" s="140"/>
      <c r="D110" s="140"/>
      <c r="E110" s="140"/>
      <c r="F110" s="140"/>
      <c r="G110" s="140"/>
      <c r="H110" s="140"/>
      <c r="I110" s="140"/>
      <c r="J110" s="139"/>
      <c r="K110" s="139"/>
      <c r="L110" s="139"/>
      <c r="M110" s="139"/>
      <c r="N110" s="140"/>
      <c r="O110" s="140"/>
      <c r="P110" s="140"/>
    </row>
    <row r="111" spans="1:16" x14ac:dyDescent="0.25">
      <c r="B111" s="140"/>
      <c r="C111" s="140"/>
      <c r="D111" s="140"/>
      <c r="E111" s="140"/>
      <c r="F111" s="140"/>
      <c r="G111" s="140"/>
      <c r="H111" s="140"/>
      <c r="I111" s="140"/>
      <c r="J111" s="139"/>
      <c r="K111" s="139"/>
      <c r="L111" s="139"/>
      <c r="M111" s="139"/>
      <c r="N111" s="140"/>
      <c r="O111" s="140"/>
      <c r="P111" s="140"/>
    </row>
    <row r="112" spans="1:16" x14ac:dyDescent="0.25">
      <c r="B112" s="140"/>
      <c r="C112" s="140"/>
      <c r="D112" s="140"/>
      <c r="E112" s="140"/>
      <c r="F112" s="140"/>
      <c r="G112" s="140"/>
      <c r="H112" s="140"/>
      <c r="I112" s="140"/>
      <c r="J112" s="139"/>
      <c r="K112" s="139"/>
      <c r="L112" s="139"/>
      <c r="M112" s="139"/>
      <c r="N112" s="140"/>
      <c r="O112" s="140"/>
      <c r="P112" s="140"/>
    </row>
    <row r="113" spans="2:16" x14ac:dyDescent="0.25">
      <c r="B113" s="140"/>
      <c r="C113" s="140"/>
      <c r="D113" s="140"/>
      <c r="E113" s="140"/>
      <c r="F113" s="140"/>
      <c r="G113" s="140"/>
      <c r="H113" s="140"/>
      <c r="I113" s="140"/>
      <c r="J113" s="139"/>
      <c r="K113" s="139"/>
      <c r="L113" s="139"/>
      <c r="M113" s="139"/>
      <c r="N113" s="140"/>
      <c r="O113" s="140"/>
      <c r="P113" s="140"/>
    </row>
    <row r="114" spans="2:16" x14ac:dyDescent="0.25">
      <c r="B114" s="140"/>
      <c r="C114" s="140"/>
      <c r="D114" s="140"/>
      <c r="E114" s="140"/>
      <c r="F114" s="140"/>
      <c r="G114" s="140"/>
      <c r="H114" s="140"/>
      <c r="I114" s="140"/>
      <c r="J114" s="139"/>
      <c r="K114" s="139"/>
      <c r="L114" s="139"/>
      <c r="M114" s="139"/>
      <c r="N114" s="140"/>
      <c r="O114" s="140"/>
      <c r="P114" s="140"/>
    </row>
    <row r="115" spans="2:16" x14ac:dyDescent="0.25">
      <c r="B115" s="140"/>
      <c r="C115" s="140"/>
      <c r="D115" s="140"/>
      <c r="E115" s="140"/>
      <c r="F115" s="140"/>
      <c r="G115" s="140"/>
      <c r="H115" s="140"/>
      <c r="I115" s="140"/>
      <c r="J115" s="139"/>
      <c r="K115" s="139"/>
      <c r="L115" s="139"/>
      <c r="M115" s="139"/>
      <c r="N115" s="140"/>
      <c r="O115" s="140"/>
      <c r="P115" s="140"/>
    </row>
    <row r="116" spans="2:16" x14ac:dyDescent="0.25">
      <c r="B116" s="140"/>
      <c r="C116" s="140"/>
      <c r="D116" s="140"/>
      <c r="E116" s="140"/>
      <c r="F116" s="140"/>
      <c r="G116" s="140"/>
      <c r="H116" s="140"/>
      <c r="I116" s="140"/>
      <c r="J116" s="139"/>
      <c r="K116" s="139"/>
      <c r="L116" s="139"/>
      <c r="M116" s="139"/>
      <c r="N116" s="140"/>
      <c r="O116" s="140"/>
      <c r="P116" s="140"/>
    </row>
    <row r="117" spans="2:16" x14ac:dyDescent="0.25">
      <c r="B117" s="140"/>
      <c r="C117" s="140"/>
      <c r="D117" s="140"/>
      <c r="E117" s="140"/>
      <c r="F117" s="140"/>
      <c r="G117" s="140"/>
      <c r="H117" s="140"/>
      <c r="I117" s="140"/>
      <c r="J117" s="139"/>
      <c r="K117" s="139"/>
      <c r="L117" s="139"/>
      <c r="M117" s="139"/>
      <c r="N117" s="140"/>
      <c r="O117" s="140"/>
      <c r="P117" s="140"/>
    </row>
  </sheetData>
  <mergeCells count="37">
    <mergeCell ref="C23:I23"/>
    <mergeCell ref="U44:W46"/>
    <mergeCell ref="B2:L2"/>
    <mergeCell ref="C15:L15"/>
    <mergeCell ref="B5:B7"/>
    <mergeCell ref="C9:L10"/>
    <mergeCell ref="J31:K31"/>
    <mergeCell ref="C5:L7"/>
    <mergeCell ref="C43:D43"/>
    <mergeCell ref="J32:K32"/>
    <mergeCell ref="J33:K33"/>
    <mergeCell ref="J34:K34"/>
    <mergeCell ref="J37:K37"/>
    <mergeCell ref="C20:I20"/>
    <mergeCell ref="C21:I21"/>
    <mergeCell ref="C22:I22"/>
    <mergeCell ref="K98:M98"/>
    <mergeCell ref="N98:N100"/>
    <mergeCell ref="K99:L99"/>
    <mergeCell ref="K100:L100"/>
    <mergeCell ref="O100:O101"/>
    <mergeCell ref="C102:F102"/>
    <mergeCell ref="C94:J94"/>
    <mergeCell ref="C61:G61"/>
    <mergeCell ref="C96:F101"/>
    <mergeCell ref="G96:G101"/>
    <mergeCell ref="H96:H101"/>
    <mergeCell ref="I96:J96"/>
    <mergeCell ref="C92:E92"/>
    <mergeCell ref="C79:D79"/>
    <mergeCell ref="C85:D85"/>
    <mergeCell ref="C90:K91"/>
    <mergeCell ref="K96:P96"/>
    <mergeCell ref="I97:I101"/>
    <mergeCell ref="J97:J101"/>
    <mergeCell ref="K97:N97"/>
    <mergeCell ref="P97:P101"/>
  </mergeCells>
  <phoneticPr fontId="33" type="noConversion"/>
  <pageMargins left="0.70866141732283472" right="0.70866141732283472" top="0.49" bottom="0.47" header="0.31496062992125984" footer="0.31496062992125984"/>
  <pageSetup paperSize="9" orientation="portrait"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Q19"/>
  <sheetViews>
    <sheetView showGridLines="0" zoomScale="80" zoomScaleNormal="80" zoomScalePageLayoutView="80" workbookViewId="0">
      <selection activeCell="N28" sqref="N28"/>
    </sheetView>
  </sheetViews>
  <sheetFormatPr baseColWidth="10" defaultColWidth="11.42578125" defaultRowHeight="15.75" x14ac:dyDescent="0.25"/>
  <cols>
    <col min="1" max="1" width="1.85546875" style="114" customWidth="1"/>
    <col min="2" max="2" width="55.85546875" style="114" customWidth="1"/>
    <col min="3" max="3" width="8" style="114" customWidth="1"/>
    <col min="4" max="4" width="13.85546875" style="114" customWidth="1"/>
    <col min="5" max="5" width="9.140625" style="114" customWidth="1"/>
    <col min="6" max="6" width="12.140625" style="114" customWidth="1"/>
    <col min="7" max="7" width="6.140625" style="114" customWidth="1"/>
    <col min="8" max="8" width="11.42578125" style="114" customWidth="1"/>
    <col min="9" max="9" width="6.28515625" style="114" bestFit="1" customWidth="1"/>
    <col min="10" max="10" width="10.85546875" style="114" customWidth="1"/>
    <col min="11" max="11" width="6.28515625" style="114" bestFit="1" customWidth="1"/>
    <col min="12" max="12" width="11.85546875" style="114" customWidth="1"/>
    <col min="13" max="13" width="6.28515625" style="114" bestFit="1" customWidth="1"/>
    <col min="14" max="14" width="10.42578125" style="114" customWidth="1"/>
    <col min="15" max="15" width="11.42578125" style="114"/>
    <col min="16" max="16" width="10.140625" style="114" customWidth="1"/>
    <col min="17" max="17" width="5.140625" style="114" customWidth="1"/>
    <col min="18" max="16384" width="11.42578125" style="114"/>
  </cols>
  <sheetData>
    <row r="1" spans="2:17" ht="16.5" thickBot="1" x14ac:dyDescent="0.3"/>
    <row r="2" spans="2:17" ht="16.5" thickBot="1" x14ac:dyDescent="0.3">
      <c r="B2" s="639" t="s">
        <v>159</v>
      </c>
      <c r="C2" s="641" t="s">
        <v>581</v>
      </c>
      <c r="D2" s="642"/>
      <c r="E2" s="647" t="s">
        <v>582</v>
      </c>
      <c r="F2" s="648"/>
      <c r="G2" s="648"/>
      <c r="H2" s="648"/>
      <c r="I2" s="648"/>
      <c r="J2" s="648"/>
      <c r="K2" s="648"/>
      <c r="L2" s="648"/>
      <c r="M2" s="648"/>
      <c r="N2" s="648"/>
      <c r="O2" s="649" t="s">
        <v>588</v>
      </c>
      <c r="P2" s="650"/>
      <c r="Q2" s="412"/>
    </row>
    <row r="3" spans="2:17" ht="16.5" thickBot="1" x14ac:dyDescent="0.3">
      <c r="B3" s="640"/>
      <c r="C3" s="643"/>
      <c r="D3" s="644"/>
      <c r="E3" s="655" t="s">
        <v>294</v>
      </c>
      <c r="F3" s="656"/>
      <c r="G3" s="656"/>
      <c r="H3" s="656"/>
      <c r="I3" s="656"/>
      <c r="J3" s="656"/>
      <c r="K3" s="649" t="s">
        <v>295</v>
      </c>
      <c r="L3" s="650"/>
      <c r="M3" s="649" t="s">
        <v>296</v>
      </c>
      <c r="N3" s="650"/>
      <c r="O3" s="651"/>
      <c r="P3" s="652"/>
      <c r="Q3" s="413"/>
    </row>
    <row r="4" spans="2:17" ht="63.75" customHeight="1" thickBot="1" x14ac:dyDescent="0.3">
      <c r="B4" s="640"/>
      <c r="C4" s="645"/>
      <c r="D4" s="646"/>
      <c r="E4" s="657" t="s">
        <v>80</v>
      </c>
      <c r="F4" s="658"/>
      <c r="G4" s="655" t="s">
        <v>297</v>
      </c>
      <c r="H4" s="656"/>
      <c r="I4" s="655" t="s">
        <v>298</v>
      </c>
      <c r="J4" s="656"/>
      <c r="K4" s="651"/>
      <c r="L4" s="652"/>
      <c r="M4" s="653"/>
      <c r="N4" s="654"/>
      <c r="O4" s="653"/>
      <c r="P4" s="654"/>
      <c r="Q4" s="414"/>
    </row>
    <row r="5" spans="2:17" x14ac:dyDescent="0.25">
      <c r="B5" s="415" t="s">
        <v>81</v>
      </c>
      <c r="C5" s="416">
        <v>1451</v>
      </c>
      <c r="D5" s="417">
        <f>+RTRE!G11</f>
        <v>23350000</v>
      </c>
      <c r="E5" s="418">
        <v>1452</v>
      </c>
      <c r="F5" s="417">
        <f>+RTRE!H11</f>
        <v>0</v>
      </c>
      <c r="G5" s="418">
        <v>1752</v>
      </c>
      <c r="H5" s="417"/>
      <c r="I5" s="419">
        <v>1753</v>
      </c>
      <c r="J5" s="417"/>
      <c r="K5" s="418">
        <v>1453</v>
      </c>
      <c r="L5" s="420"/>
      <c r="M5" s="421">
        <v>1454</v>
      </c>
      <c r="N5" s="420">
        <f>+RTRE!I11</f>
        <v>80000</v>
      </c>
      <c r="O5" s="421">
        <v>1382</v>
      </c>
      <c r="P5" s="422">
        <f>+RTRE!O11</f>
        <v>150000</v>
      </c>
      <c r="Q5" s="423" t="s">
        <v>417</v>
      </c>
    </row>
    <row r="6" spans="2:17" x14ac:dyDescent="0.25">
      <c r="B6" s="415" t="s">
        <v>82</v>
      </c>
      <c r="C6" s="424"/>
      <c r="D6" s="425"/>
      <c r="E6" s="250">
        <v>1589</v>
      </c>
      <c r="F6" s="426"/>
      <c r="G6" s="427"/>
      <c r="H6" s="425"/>
      <c r="I6" s="428"/>
      <c r="J6" s="425"/>
      <c r="K6" s="250">
        <v>1455</v>
      </c>
      <c r="L6" s="429"/>
      <c r="M6" s="250">
        <v>1456</v>
      </c>
      <c r="N6" s="429"/>
      <c r="O6" s="430"/>
      <c r="P6" s="431"/>
      <c r="Q6" s="432" t="s">
        <v>418</v>
      </c>
    </row>
    <row r="7" spans="2:17" x14ac:dyDescent="0.25">
      <c r="B7" s="415" t="s">
        <v>83</v>
      </c>
      <c r="C7" s="252">
        <v>1457</v>
      </c>
      <c r="D7" s="426"/>
      <c r="E7" s="427"/>
      <c r="F7" s="425"/>
      <c r="G7" s="250">
        <v>1458</v>
      </c>
      <c r="H7" s="426"/>
      <c r="I7" s="428"/>
      <c r="J7" s="425"/>
      <c r="K7" s="427"/>
      <c r="L7" s="431"/>
      <c r="M7" s="427"/>
      <c r="N7" s="431"/>
      <c r="O7" s="433">
        <v>1383</v>
      </c>
      <c r="P7" s="429"/>
      <c r="Q7" s="432" t="s">
        <v>418</v>
      </c>
    </row>
    <row r="8" spans="2:17" x14ac:dyDescent="0.25">
      <c r="B8" s="415" t="s">
        <v>299</v>
      </c>
      <c r="C8" s="252">
        <v>1392</v>
      </c>
      <c r="D8" s="429"/>
      <c r="E8" s="250">
        <v>1393</v>
      </c>
      <c r="F8" s="426"/>
      <c r="G8" s="250">
        <v>1755</v>
      </c>
      <c r="H8" s="426"/>
      <c r="I8" s="250">
        <v>1756</v>
      </c>
      <c r="J8" s="426"/>
      <c r="K8" s="250">
        <v>1394</v>
      </c>
      <c r="L8" s="429"/>
      <c r="M8" s="250">
        <v>1395</v>
      </c>
      <c r="N8" s="429"/>
      <c r="O8" s="433">
        <v>1384</v>
      </c>
      <c r="P8" s="429"/>
      <c r="Q8" s="432" t="s">
        <v>417</v>
      </c>
    </row>
    <row r="9" spans="2:17" x14ac:dyDescent="0.25">
      <c r="B9" s="415" t="s">
        <v>402</v>
      </c>
      <c r="C9" s="252">
        <v>1396</v>
      </c>
      <c r="D9" s="429"/>
      <c r="E9" s="250">
        <v>1397</v>
      </c>
      <c r="F9" s="426"/>
      <c r="G9" s="250">
        <v>1757</v>
      </c>
      <c r="H9" s="426"/>
      <c r="I9" s="250">
        <v>1758</v>
      </c>
      <c r="J9" s="426"/>
      <c r="K9" s="250">
        <v>1398</v>
      </c>
      <c r="L9" s="429"/>
      <c r="M9" s="250">
        <v>1399</v>
      </c>
      <c r="N9" s="429"/>
      <c r="O9" s="433">
        <v>1385</v>
      </c>
      <c r="P9" s="429"/>
      <c r="Q9" s="432" t="s">
        <v>418</v>
      </c>
    </row>
    <row r="10" spans="2:17" x14ac:dyDescent="0.25">
      <c r="B10" s="415" t="s">
        <v>84</v>
      </c>
      <c r="C10" s="252">
        <v>1459</v>
      </c>
      <c r="D10" s="434">
        <f>-RTRE!G12</f>
        <v>23350000</v>
      </c>
      <c r="E10" s="250">
        <v>1460</v>
      </c>
      <c r="F10" s="435"/>
      <c r="G10" s="250">
        <v>1759</v>
      </c>
      <c r="H10" s="426"/>
      <c r="I10" s="250">
        <v>1760</v>
      </c>
      <c r="J10" s="426"/>
      <c r="K10" s="250">
        <v>1461</v>
      </c>
      <c r="L10" s="429"/>
      <c r="M10" s="250">
        <v>1462</v>
      </c>
      <c r="N10" s="429"/>
      <c r="O10" s="433">
        <v>1386</v>
      </c>
      <c r="P10" s="429"/>
      <c r="Q10" s="432" t="s">
        <v>418</v>
      </c>
    </row>
    <row r="11" spans="2:17" x14ac:dyDescent="0.25">
      <c r="B11" s="415" t="s">
        <v>403</v>
      </c>
      <c r="C11" s="252">
        <v>1463</v>
      </c>
      <c r="D11" s="434">
        <f>+RTRE!G13</f>
        <v>100315366.49717514</v>
      </c>
      <c r="E11" s="250">
        <v>1464</v>
      </c>
      <c r="F11" s="426"/>
      <c r="G11" s="250">
        <v>1761</v>
      </c>
      <c r="H11" s="426"/>
      <c r="I11" s="250">
        <v>1762</v>
      </c>
      <c r="J11" s="426"/>
      <c r="K11" s="250">
        <v>1465</v>
      </c>
      <c r="L11" s="429"/>
      <c r="M11" s="250">
        <v>1466</v>
      </c>
      <c r="N11" s="429"/>
      <c r="O11" s="430"/>
      <c r="P11" s="431"/>
      <c r="Q11" s="432" t="s">
        <v>417</v>
      </c>
    </row>
    <row r="12" spans="2:17" x14ac:dyDescent="0.25">
      <c r="B12" s="415" t="s">
        <v>404</v>
      </c>
      <c r="C12" s="252">
        <v>1467</v>
      </c>
      <c r="D12" s="429"/>
      <c r="E12" s="250">
        <v>1468</v>
      </c>
      <c r="F12" s="426"/>
      <c r="G12" s="250">
        <v>1763</v>
      </c>
      <c r="H12" s="426"/>
      <c r="I12" s="250">
        <v>1764</v>
      </c>
      <c r="J12" s="426"/>
      <c r="K12" s="250">
        <v>1469</v>
      </c>
      <c r="L12" s="429"/>
      <c r="M12" s="250">
        <v>1470</v>
      </c>
      <c r="N12" s="434">
        <f>+RTRE!I14</f>
        <v>80000</v>
      </c>
      <c r="O12" s="433">
        <v>1387</v>
      </c>
      <c r="P12" s="429">
        <f>+RTRE!O16</f>
        <v>160000</v>
      </c>
      <c r="Q12" s="432" t="s">
        <v>417</v>
      </c>
    </row>
    <row r="13" spans="2:17" x14ac:dyDescent="0.25">
      <c r="B13" s="415" t="s">
        <v>405</v>
      </c>
      <c r="C13" s="252">
        <v>1471</v>
      </c>
      <c r="D13" s="429"/>
      <c r="E13" s="250">
        <v>1472</v>
      </c>
      <c r="F13" s="426"/>
      <c r="G13" s="250">
        <v>1765</v>
      </c>
      <c r="H13" s="426"/>
      <c r="I13" s="250">
        <v>1766</v>
      </c>
      <c r="J13" s="426"/>
      <c r="K13" s="250">
        <v>1473</v>
      </c>
      <c r="L13" s="429"/>
      <c r="M13" s="250">
        <v>1474</v>
      </c>
      <c r="N13" s="429"/>
      <c r="O13" s="433">
        <v>1388</v>
      </c>
      <c r="P13" s="429"/>
      <c r="Q13" s="432" t="s">
        <v>418</v>
      </c>
    </row>
    <row r="14" spans="2:17" x14ac:dyDescent="0.25">
      <c r="B14" s="415" t="s">
        <v>86</v>
      </c>
      <c r="C14" s="252">
        <v>1475</v>
      </c>
      <c r="D14" s="429">
        <f>-RTRE!G19-RTRE!G20</f>
        <v>16000000</v>
      </c>
      <c r="E14" s="250">
        <v>1476</v>
      </c>
      <c r="F14" s="426">
        <f>-RTRE!H19</f>
        <v>0</v>
      </c>
      <c r="G14" s="250">
        <v>1767</v>
      </c>
      <c r="H14" s="426"/>
      <c r="I14" s="250">
        <v>1768</v>
      </c>
      <c r="J14" s="426"/>
      <c r="K14" s="250">
        <v>1477</v>
      </c>
      <c r="L14" s="429"/>
      <c r="M14" s="250">
        <v>1478</v>
      </c>
      <c r="N14" s="429"/>
      <c r="O14" s="433">
        <v>1389</v>
      </c>
      <c r="P14" s="429"/>
      <c r="Q14" s="432" t="s">
        <v>418</v>
      </c>
    </row>
    <row r="15" spans="2:17" ht="25.5" x14ac:dyDescent="0.25">
      <c r="B15" s="415" t="s">
        <v>85</v>
      </c>
      <c r="C15" s="252">
        <v>1480</v>
      </c>
      <c r="D15" s="429"/>
      <c r="E15" s="250">
        <v>1481</v>
      </c>
      <c r="F15" s="426"/>
      <c r="G15" s="250">
        <v>1769</v>
      </c>
      <c r="H15" s="426"/>
      <c r="I15" s="250">
        <v>1770</v>
      </c>
      <c r="J15" s="426"/>
      <c r="K15" s="250">
        <v>1482</v>
      </c>
      <c r="L15" s="429"/>
      <c r="M15" s="250">
        <v>1483</v>
      </c>
      <c r="N15" s="429"/>
      <c r="O15" s="433">
        <v>1390</v>
      </c>
      <c r="P15" s="429"/>
      <c r="Q15" s="432" t="s">
        <v>418</v>
      </c>
    </row>
    <row r="16" spans="2:17" x14ac:dyDescent="0.25">
      <c r="B16" s="415" t="s">
        <v>406</v>
      </c>
      <c r="C16" s="252">
        <v>1484</v>
      </c>
      <c r="D16" s="429">
        <f>+D5-D10+D11-D14</f>
        <v>84315366.497175142</v>
      </c>
      <c r="E16" s="250">
        <v>1485</v>
      </c>
      <c r="F16" s="436">
        <f>+F5-F10+F11-F14</f>
        <v>0</v>
      </c>
      <c r="G16" s="250">
        <v>1771</v>
      </c>
      <c r="H16" s="426"/>
      <c r="I16" s="250">
        <v>1772</v>
      </c>
      <c r="J16" s="426"/>
      <c r="K16" s="250">
        <v>1486</v>
      </c>
      <c r="L16" s="429"/>
      <c r="M16" s="250">
        <v>1487</v>
      </c>
      <c r="N16" s="429">
        <f>+N5-N6+N8-N9-N10+N11+N12-N13-N14-N15</f>
        <v>160000</v>
      </c>
      <c r="O16" s="433">
        <v>1391</v>
      </c>
      <c r="P16" s="429">
        <f>+P5-P7+P8-P9-P10+P12-P13-P14-P15</f>
        <v>310000</v>
      </c>
      <c r="Q16" s="432" t="s">
        <v>419</v>
      </c>
    </row>
    <row r="17" spans="2:17" ht="16.5" thickBot="1" x14ac:dyDescent="0.3">
      <c r="B17" s="437" t="s">
        <v>407</v>
      </c>
      <c r="C17" s="438"/>
      <c r="D17" s="438"/>
      <c r="E17" s="439">
        <v>1489</v>
      </c>
      <c r="F17" s="440"/>
      <c r="G17" s="441"/>
      <c r="H17" s="442"/>
      <c r="I17" s="441"/>
      <c r="J17" s="442"/>
      <c r="K17" s="443">
        <v>1490</v>
      </c>
      <c r="L17" s="444"/>
      <c r="M17" s="439">
        <v>1491</v>
      </c>
      <c r="N17" s="444"/>
      <c r="O17" s="445"/>
      <c r="P17" s="446"/>
      <c r="Q17" s="447" t="s">
        <v>419</v>
      </c>
    </row>
    <row r="19" spans="2:17" x14ac:dyDescent="0.25">
      <c r="B19" s="132"/>
    </row>
  </sheetData>
  <mergeCells count="10">
    <mergeCell ref="B2:B4"/>
    <mergeCell ref="C2:D4"/>
    <mergeCell ref="E2:N2"/>
    <mergeCell ref="O2:P4"/>
    <mergeCell ref="E3:J3"/>
    <mergeCell ref="K3:L4"/>
    <mergeCell ref="M3:N4"/>
    <mergeCell ref="E4:F4"/>
    <mergeCell ref="G4:H4"/>
    <mergeCell ref="I4:J4"/>
  </mergeCells>
  <phoneticPr fontId="33" type="noConversion"/>
  <pageMargins left="0.47" right="0.63"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S20"/>
  <sheetViews>
    <sheetView showGridLines="0" zoomScale="70" zoomScaleNormal="70" zoomScalePageLayoutView="70" workbookViewId="0">
      <selection activeCell="L43" sqref="L43"/>
    </sheetView>
  </sheetViews>
  <sheetFormatPr baseColWidth="10" defaultColWidth="9.140625" defaultRowHeight="15.75" x14ac:dyDescent="0.25"/>
  <cols>
    <col min="1" max="1" width="3.42578125" style="114" customWidth="1"/>
    <col min="2" max="2" width="59.42578125" style="114" customWidth="1"/>
    <col min="3" max="3" width="9.140625" style="114"/>
    <col min="4" max="4" width="12.42578125" style="114" customWidth="1"/>
    <col min="5" max="5" width="9.140625" style="114"/>
    <col min="6" max="6" width="13.42578125" style="114" customWidth="1"/>
    <col min="7" max="7" width="9.140625" style="114"/>
    <col min="8" max="8" width="12.140625" style="114" customWidth="1"/>
    <col min="9" max="9" width="9.140625" style="114"/>
    <col min="10" max="10" width="12.85546875" style="114" customWidth="1"/>
    <col min="11" max="11" width="9.140625" style="114"/>
    <col min="12" max="12" width="12.85546875" style="114" customWidth="1"/>
    <col min="13" max="13" width="9.140625" style="114"/>
    <col min="14" max="14" width="10.140625" style="114" customWidth="1"/>
    <col min="15" max="15" width="9.140625" style="114"/>
    <col min="16" max="16" width="10.85546875" style="114" customWidth="1"/>
    <col min="17" max="17" width="9.140625" style="114"/>
    <col min="18" max="18" width="11.140625" style="114" customWidth="1"/>
    <col min="19" max="19" width="4.42578125" style="114" customWidth="1"/>
    <col min="20" max="16384" width="9.140625" style="114"/>
  </cols>
  <sheetData>
    <row r="1" spans="2:19" ht="16.5" thickBot="1" x14ac:dyDescent="0.3"/>
    <row r="2" spans="2:19" ht="16.5" thickBot="1" x14ac:dyDescent="0.3">
      <c r="B2" s="629" t="s">
        <v>37</v>
      </c>
      <c r="C2" s="660" t="s">
        <v>408</v>
      </c>
      <c r="D2" s="661"/>
      <c r="E2" s="661"/>
      <c r="F2" s="661"/>
      <c r="G2" s="661"/>
      <c r="H2" s="661"/>
      <c r="I2" s="661"/>
      <c r="J2" s="661"/>
      <c r="K2" s="661"/>
      <c r="L2" s="661"/>
      <c r="M2" s="629" t="s">
        <v>409</v>
      </c>
      <c r="N2" s="633"/>
      <c r="O2" s="633"/>
      <c r="P2" s="633"/>
      <c r="Q2" s="633"/>
      <c r="R2" s="633"/>
      <c r="S2" s="412"/>
    </row>
    <row r="3" spans="2:19" ht="16.5" thickBot="1" x14ac:dyDescent="0.3">
      <c r="B3" s="659"/>
      <c r="C3" s="660" t="s">
        <v>416</v>
      </c>
      <c r="D3" s="661"/>
      <c r="E3" s="661"/>
      <c r="F3" s="662"/>
      <c r="G3" s="660" t="s">
        <v>410</v>
      </c>
      <c r="H3" s="661"/>
      <c r="I3" s="661"/>
      <c r="J3" s="661"/>
      <c r="K3" s="629" t="s">
        <v>411</v>
      </c>
      <c r="L3" s="634"/>
      <c r="M3" s="663" t="s">
        <v>412</v>
      </c>
      <c r="N3" s="664"/>
      <c r="O3" s="633" t="s">
        <v>413</v>
      </c>
      <c r="P3" s="633"/>
      <c r="Q3" s="629" t="s">
        <v>411</v>
      </c>
      <c r="R3" s="633"/>
      <c r="S3" s="413"/>
    </row>
    <row r="4" spans="2:19" ht="16.5" thickBot="1" x14ac:dyDescent="0.3">
      <c r="B4" s="659"/>
      <c r="C4" s="660" t="s">
        <v>412</v>
      </c>
      <c r="D4" s="661"/>
      <c r="E4" s="660" t="s">
        <v>413</v>
      </c>
      <c r="F4" s="661"/>
      <c r="G4" s="660" t="s">
        <v>412</v>
      </c>
      <c r="H4" s="661"/>
      <c r="I4" s="660" t="s">
        <v>413</v>
      </c>
      <c r="J4" s="661"/>
      <c r="K4" s="635"/>
      <c r="L4" s="637"/>
      <c r="M4" s="665"/>
      <c r="N4" s="666"/>
      <c r="O4" s="636"/>
      <c r="P4" s="636"/>
      <c r="Q4" s="635"/>
      <c r="R4" s="636"/>
      <c r="S4" s="414"/>
    </row>
    <row r="5" spans="2:19" x14ac:dyDescent="0.25">
      <c r="B5" s="448" t="s">
        <v>81</v>
      </c>
      <c r="C5" s="449">
        <v>1495</v>
      </c>
      <c r="D5" s="450"/>
      <c r="E5" s="451">
        <v>1496</v>
      </c>
      <c r="F5" s="450">
        <f>+RTRE!K11</f>
        <v>1028889</v>
      </c>
      <c r="G5" s="451">
        <v>1497</v>
      </c>
      <c r="H5" s="450"/>
      <c r="I5" s="451">
        <v>1498</v>
      </c>
      <c r="J5" s="450">
        <f>+RTRE!L11</f>
        <v>92466</v>
      </c>
      <c r="K5" s="451">
        <v>1499</v>
      </c>
      <c r="L5" s="450"/>
      <c r="M5" s="451">
        <v>1501</v>
      </c>
      <c r="N5" s="450"/>
      <c r="O5" s="451">
        <v>1502</v>
      </c>
      <c r="P5" s="450">
        <f>+RTRE!N11</f>
        <v>34312</v>
      </c>
      <c r="Q5" s="451">
        <v>1503</v>
      </c>
      <c r="R5" s="450"/>
      <c r="S5" s="423" t="s">
        <v>417</v>
      </c>
    </row>
    <row r="6" spans="2:19" x14ac:dyDescent="0.25">
      <c r="B6" s="415" t="s">
        <v>82</v>
      </c>
      <c r="C6" s="373">
        <v>1655</v>
      </c>
      <c r="D6" s="452"/>
      <c r="E6" s="453">
        <v>1656</v>
      </c>
      <c r="F6" s="452"/>
      <c r="G6" s="453">
        <v>1504</v>
      </c>
      <c r="H6" s="452"/>
      <c r="I6" s="453">
        <v>1505</v>
      </c>
      <c r="J6" s="452"/>
      <c r="K6" s="454"/>
      <c r="L6" s="454"/>
      <c r="M6" s="455"/>
      <c r="N6" s="455"/>
      <c r="O6" s="455"/>
      <c r="P6" s="455"/>
      <c r="Q6" s="456"/>
      <c r="R6" s="456"/>
      <c r="S6" s="367" t="s">
        <v>418</v>
      </c>
    </row>
    <row r="7" spans="2:19" x14ac:dyDescent="0.25">
      <c r="B7" s="415" t="s">
        <v>83</v>
      </c>
      <c r="C7" s="457"/>
      <c r="D7" s="458"/>
      <c r="E7" s="455"/>
      <c r="F7" s="454"/>
      <c r="G7" s="455"/>
      <c r="H7" s="458"/>
      <c r="I7" s="455"/>
      <c r="J7" s="455"/>
      <c r="K7" s="455"/>
      <c r="L7" s="455"/>
      <c r="M7" s="453">
        <v>1506</v>
      </c>
      <c r="N7" s="459"/>
      <c r="O7" s="453">
        <v>1507</v>
      </c>
      <c r="P7" s="459"/>
      <c r="Q7" s="455"/>
      <c r="R7" s="455"/>
      <c r="S7" s="432" t="s">
        <v>418</v>
      </c>
    </row>
    <row r="8" spans="2:19" x14ac:dyDescent="0.25">
      <c r="B8" s="415" t="s">
        <v>299</v>
      </c>
      <c r="C8" s="373">
        <v>1590</v>
      </c>
      <c r="D8" s="459"/>
      <c r="E8" s="460">
        <v>1436</v>
      </c>
      <c r="F8" s="459"/>
      <c r="G8" s="453">
        <v>1437</v>
      </c>
      <c r="H8" s="459"/>
      <c r="I8" s="453">
        <v>1438</v>
      </c>
      <c r="J8" s="459"/>
      <c r="K8" s="453">
        <v>1439</v>
      </c>
      <c r="L8" s="459"/>
      <c r="M8" s="453">
        <v>1441</v>
      </c>
      <c r="N8" s="459"/>
      <c r="O8" s="453">
        <v>1442</v>
      </c>
      <c r="P8" s="459"/>
      <c r="Q8" s="453">
        <v>1443</v>
      </c>
      <c r="R8" s="459"/>
      <c r="S8" s="432" t="s">
        <v>417</v>
      </c>
    </row>
    <row r="9" spans="2:19" x14ac:dyDescent="0.25">
      <c r="B9" s="415" t="s">
        <v>402</v>
      </c>
      <c r="C9" s="368">
        <v>1444</v>
      </c>
      <c r="D9" s="459"/>
      <c r="E9" s="460">
        <v>1447</v>
      </c>
      <c r="F9" s="459"/>
      <c r="G9" s="453">
        <v>1448</v>
      </c>
      <c r="H9" s="459"/>
      <c r="I9" s="453">
        <v>1449</v>
      </c>
      <c r="J9" s="459"/>
      <c r="K9" s="460">
        <v>1508</v>
      </c>
      <c r="L9" s="459"/>
      <c r="M9" s="453">
        <v>1509</v>
      </c>
      <c r="N9" s="459"/>
      <c r="O9" s="453">
        <v>1510</v>
      </c>
      <c r="P9" s="459"/>
      <c r="Q9" s="453">
        <v>1511</v>
      </c>
      <c r="R9" s="459"/>
      <c r="S9" s="432" t="s">
        <v>418</v>
      </c>
    </row>
    <row r="10" spans="2:19" x14ac:dyDescent="0.25">
      <c r="B10" s="415" t="s">
        <v>109</v>
      </c>
      <c r="C10" s="368">
        <v>1512</v>
      </c>
      <c r="D10" s="461">
        <f>+RTRE!J15</f>
        <v>1000608</v>
      </c>
      <c r="E10" s="460">
        <v>1513</v>
      </c>
      <c r="F10" s="461">
        <f>+RTRE!K15</f>
        <v>3989624</v>
      </c>
      <c r="G10" s="455"/>
      <c r="H10" s="455"/>
      <c r="I10" s="455"/>
      <c r="J10" s="455"/>
      <c r="K10" s="460">
        <v>1514</v>
      </c>
      <c r="L10" s="461">
        <f>+RTRE!M15</f>
        <v>2599275</v>
      </c>
      <c r="M10" s="455"/>
      <c r="N10" s="455"/>
      <c r="O10" s="455"/>
      <c r="P10" s="455"/>
      <c r="Q10" s="455"/>
      <c r="R10" s="455"/>
      <c r="S10" s="432" t="s">
        <v>417</v>
      </c>
    </row>
    <row r="11" spans="2:19" x14ac:dyDescent="0.25">
      <c r="B11" s="415" t="s">
        <v>1</v>
      </c>
      <c r="C11" s="368">
        <v>1515</v>
      </c>
      <c r="D11" s="459"/>
      <c r="E11" s="460">
        <v>1516</v>
      </c>
      <c r="F11" s="459">
        <f>+RTRE!K16</f>
        <v>22222</v>
      </c>
      <c r="G11" s="453">
        <v>1517</v>
      </c>
      <c r="H11" s="459"/>
      <c r="I11" s="453">
        <v>1518</v>
      </c>
      <c r="J11" s="459">
        <f>+RTRE!L16</f>
        <v>92466</v>
      </c>
      <c r="K11" s="460">
        <v>1519</v>
      </c>
      <c r="L11" s="459"/>
      <c r="M11" s="453">
        <v>1520</v>
      </c>
      <c r="N11" s="459"/>
      <c r="O11" s="453">
        <v>1521</v>
      </c>
      <c r="P11" s="459">
        <f>+RTRE!N16</f>
        <v>36600</v>
      </c>
      <c r="Q11" s="453">
        <v>1522</v>
      </c>
      <c r="R11" s="459"/>
      <c r="S11" s="432" t="s">
        <v>417</v>
      </c>
    </row>
    <row r="12" spans="2:19" x14ac:dyDescent="0.25">
      <c r="B12" s="415" t="s">
        <v>404</v>
      </c>
      <c r="C12" s="368">
        <v>1523</v>
      </c>
      <c r="D12" s="459"/>
      <c r="E12" s="460">
        <v>1524</v>
      </c>
      <c r="F12" s="459"/>
      <c r="G12" s="453">
        <v>1525</v>
      </c>
      <c r="H12" s="459"/>
      <c r="I12" s="453">
        <v>1526</v>
      </c>
      <c r="J12" s="459"/>
      <c r="K12" s="460">
        <v>1527</v>
      </c>
      <c r="L12" s="459"/>
      <c r="M12" s="453">
        <v>1528</v>
      </c>
      <c r="N12" s="459"/>
      <c r="O12" s="453">
        <v>1529</v>
      </c>
      <c r="P12" s="459"/>
      <c r="Q12" s="453">
        <v>1530</v>
      </c>
      <c r="R12" s="459"/>
      <c r="S12" s="432" t="s">
        <v>417</v>
      </c>
    </row>
    <row r="13" spans="2:19" x14ac:dyDescent="0.25">
      <c r="B13" s="415" t="s">
        <v>405</v>
      </c>
      <c r="C13" s="368">
        <v>1531</v>
      </c>
      <c r="D13" s="459"/>
      <c r="E13" s="460">
        <v>1532</v>
      </c>
      <c r="F13" s="459"/>
      <c r="G13" s="453">
        <v>1533</v>
      </c>
      <c r="H13" s="459"/>
      <c r="I13" s="453">
        <v>1534</v>
      </c>
      <c r="J13" s="459"/>
      <c r="K13" s="460">
        <v>1535</v>
      </c>
      <c r="L13" s="459"/>
      <c r="M13" s="453">
        <v>1536</v>
      </c>
      <c r="N13" s="459"/>
      <c r="O13" s="453">
        <v>1537</v>
      </c>
      <c r="P13" s="459"/>
      <c r="Q13" s="453">
        <v>1538</v>
      </c>
      <c r="R13" s="459"/>
      <c r="S13" s="432" t="s">
        <v>418</v>
      </c>
    </row>
    <row r="14" spans="2:19" x14ac:dyDescent="0.25">
      <c r="B14" s="415" t="s">
        <v>40</v>
      </c>
      <c r="C14" s="368">
        <v>1539</v>
      </c>
      <c r="D14" s="435">
        <f>-RTRE!J19-RTRE!J20</f>
        <v>1000608</v>
      </c>
      <c r="E14" s="460">
        <v>1540</v>
      </c>
      <c r="F14" s="435">
        <f>-RTRE!K19-RTRE!K20</f>
        <v>1065976.044525</v>
      </c>
      <c r="G14" s="453">
        <v>1541</v>
      </c>
      <c r="H14" s="459"/>
      <c r="I14" s="453">
        <v>1542</v>
      </c>
      <c r="J14" s="459"/>
      <c r="K14" s="460">
        <v>1543</v>
      </c>
      <c r="L14" s="435">
        <f>-RTRE!M19-RTRE!M20</f>
        <v>2599275</v>
      </c>
      <c r="M14" s="453">
        <v>1544</v>
      </c>
      <c r="N14" s="459"/>
      <c r="O14" s="453">
        <v>1547</v>
      </c>
      <c r="P14" s="459"/>
      <c r="Q14" s="453">
        <v>1548</v>
      </c>
      <c r="R14" s="459"/>
      <c r="S14" s="432" t="s">
        <v>418</v>
      </c>
    </row>
    <row r="15" spans="2:19" ht="25.5" x14ac:dyDescent="0.25">
      <c r="B15" s="415" t="s">
        <v>38</v>
      </c>
      <c r="C15" s="368">
        <v>1549</v>
      </c>
      <c r="D15" s="459"/>
      <c r="E15" s="460">
        <v>1550</v>
      </c>
      <c r="F15" s="459"/>
      <c r="G15" s="453">
        <v>1551</v>
      </c>
      <c r="H15" s="459"/>
      <c r="I15" s="453">
        <v>1552</v>
      </c>
      <c r="J15" s="459"/>
      <c r="K15" s="460">
        <v>1553</v>
      </c>
      <c r="L15" s="459"/>
      <c r="M15" s="453">
        <v>1554</v>
      </c>
      <c r="N15" s="459"/>
      <c r="O15" s="453">
        <v>1555</v>
      </c>
      <c r="P15" s="459"/>
      <c r="Q15" s="453">
        <v>1556</v>
      </c>
      <c r="R15" s="459"/>
      <c r="S15" s="432" t="s">
        <v>418</v>
      </c>
    </row>
    <row r="16" spans="2:19" ht="25.5" x14ac:dyDescent="0.25">
      <c r="B16" s="415" t="s">
        <v>39</v>
      </c>
      <c r="C16" s="368">
        <v>1557</v>
      </c>
      <c r="D16" s="459"/>
      <c r="E16" s="460">
        <v>1558</v>
      </c>
      <c r="F16" s="435">
        <f>-RTRE!K21</f>
        <v>15556</v>
      </c>
      <c r="G16" s="455"/>
      <c r="H16" s="456"/>
      <c r="I16" s="455"/>
      <c r="J16" s="456"/>
      <c r="K16" s="460">
        <v>1559</v>
      </c>
      <c r="L16" s="459"/>
      <c r="M16" s="453">
        <v>1560</v>
      </c>
      <c r="N16" s="459"/>
      <c r="O16" s="453">
        <v>1561</v>
      </c>
      <c r="P16" s="459"/>
      <c r="Q16" s="453">
        <v>1562</v>
      </c>
      <c r="R16" s="459"/>
      <c r="S16" s="432" t="s">
        <v>418</v>
      </c>
    </row>
    <row r="17" spans="2:19" x14ac:dyDescent="0.25">
      <c r="B17" s="415" t="s">
        <v>406</v>
      </c>
      <c r="C17" s="368">
        <v>1563</v>
      </c>
      <c r="D17" s="459">
        <f>+D10-D14</f>
        <v>0</v>
      </c>
      <c r="E17" s="460">
        <v>1564</v>
      </c>
      <c r="F17" s="459">
        <f>+F5+F10+F11-F14-F16</f>
        <v>3959202.9554749997</v>
      </c>
      <c r="G17" s="460">
        <v>1565</v>
      </c>
      <c r="H17" s="459"/>
      <c r="I17" s="460">
        <v>1566</v>
      </c>
      <c r="J17" s="459">
        <f>+J5+J11</f>
        <v>184932</v>
      </c>
      <c r="K17" s="460">
        <v>1567</v>
      </c>
      <c r="L17" s="459">
        <f>+L10-L14</f>
        <v>0</v>
      </c>
      <c r="M17" s="453">
        <v>1568</v>
      </c>
      <c r="N17" s="459"/>
      <c r="O17" s="453">
        <v>1569</v>
      </c>
      <c r="P17" s="459">
        <f>+P5+P11</f>
        <v>70912</v>
      </c>
      <c r="Q17" s="453">
        <v>1570</v>
      </c>
      <c r="R17" s="459"/>
      <c r="S17" s="432" t="s">
        <v>419</v>
      </c>
    </row>
    <row r="18" spans="2:19" ht="16.5" thickBot="1" x14ac:dyDescent="0.3">
      <c r="B18" s="437" t="s">
        <v>414</v>
      </c>
      <c r="C18" s="381">
        <v>1368</v>
      </c>
      <c r="D18" s="462"/>
      <c r="E18" s="463">
        <v>1371</v>
      </c>
      <c r="F18" s="462"/>
      <c r="G18" s="463">
        <v>1571</v>
      </c>
      <c r="H18" s="462"/>
      <c r="I18" s="463">
        <v>1572</v>
      </c>
      <c r="J18" s="462"/>
      <c r="K18" s="464"/>
      <c r="L18" s="465"/>
      <c r="M18" s="464"/>
      <c r="N18" s="464"/>
      <c r="O18" s="464"/>
      <c r="P18" s="464"/>
      <c r="Q18" s="464"/>
      <c r="R18" s="464"/>
      <c r="S18" s="387" t="s">
        <v>419</v>
      </c>
    </row>
    <row r="19" spans="2:19" x14ac:dyDescent="0.25">
      <c r="B19" s="173"/>
      <c r="C19" s="173"/>
      <c r="D19" s="173"/>
      <c r="E19" s="173"/>
      <c r="F19" s="173"/>
      <c r="G19" s="173"/>
      <c r="H19" s="173"/>
      <c r="I19" s="173"/>
      <c r="J19" s="173"/>
      <c r="K19" s="173"/>
      <c r="L19" s="173"/>
      <c r="M19" s="173"/>
      <c r="N19" s="173"/>
      <c r="O19" s="173"/>
      <c r="P19" s="173"/>
      <c r="Q19" s="173"/>
      <c r="R19" s="173"/>
      <c r="S19" s="173"/>
    </row>
    <row r="20" spans="2:19" x14ac:dyDescent="0.25">
      <c r="B20" s="132"/>
    </row>
  </sheetData>
  <mergeCells count="13">
    <mergeCell ref="B2:B4"/>
    <mergeCell ref="C2:L2"/>
    <mergeCell ref="M2:R2"/>
    <mergeCell ref="C3:F3"/>
    <mergeCell ref="G3:J3"/>
    <mergeCell ref="K3:L4"/>
    <mergeCell ref="M3:N4"/>
    <mergeCell ref="O3:P4"/>
    <mergeCell ref="Q3:R4"/>
    <mergeCell ref="C4:D4"/>
    <mergeCell ref="E4:F4"/>
    <mergeCell ref="G4:H4"/>
    <mergeCell ref="I4:J4"/>
  </mergeCells>
  <phoneticPr fontId="33" type="noConversion"/>
  <pageMargins left="0.42" right="0.63" top="1.08" bottom="0.74803149606299213" header="0.31496062992125984" footer="0.31496062992125984"/>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L14"/>
  <sheetViews>
    <sheetView showGridLines="0" zoomScale="120" zoomScaleNormal="120" zoomScalePageLayoutView="120" workbookViewId="0">
      <selection activeCell="B5" sqref="B5"/>
    </sheetView>
  </sheetViews>
  <sheetFormatPr baseColWidth="10" defaultColWidth="8.85546875" defaultRowHeight="15" x14ac:dyDescent="0.25"/>
  <cols>
    <col min="1" max="1" width="2.42578125" customWidth="1"/>
    <col min="2" max="2" width="24.140625" bestFit="1" customWidth="1"/>
    <col min="3" max="3" width="13" customWidth="1"/>
    <col min="4" max="4" width="17.42578125" customWidth="1"/>
    <col min="5" max="5" width="10.140625" customWidth="1"/>
    <col min="6" max="6" width="13.85546875" customWidth="1"/>
    <col min="7" max="7" width="2.42578125" customWidth="1"/>
    <col min="8" max="10" width="13.140625" customWidth="1"/>
    <col min="11" max="11" width="12.85546875" customWidth="1"/>
    <col min="12" max="12" width="9.42578125" bestFit="1" customWidth="1"/>
  </cols>
  <sheetData>
    <row r="2" spans="2:12" x14ac:dyDescent="0.25">
      <c r="B2" s="668" t="s">
        <v>134</v>
      </c>
      <c r="C2" s="670"/>
      <c r="D2" s="668" t="s">
        <v>243</v>
      </c>
      <c r="E2" s="669"/>
      <c r="F2" s="670"/>
      <c r="G2" s="173"/>
      <c r="H2" s="667" t="s">
        <v>131</v>
      </c>
      <c r="I2" s="667"/>
      <c r="J2" s="667"/>
      <c r="K2" s="667"/>
    </row>
    <row r="3" spans="2:12" ht="51" x14ac:dyDescent="0.25">
      <c r="B3" s="671" t="s">
        <v>488</v>
      </c>
      <c r="C3" s="672"/>
      <c r="D3" s="153" t="s">
        <v>284</v>
      </c>
      <c r="E3" s="153" t="s">
        <v>583</v>
      </c>
      <c r="F3" s="153" t="s">
        <v>130</v>
      </c>
      <c r="G3" s="173"/>
      <c r="H3" s="153" t="s">
        <v>59</v>
      </c>
      <c r="I3" s="153" t="s">
        <v>132</v>
      </c>
      <c r="J3" s="153" t="s">
        <v>58</v>
      </c>
      <c r="K3" s="153" t="s">
        <v>130</v>
      </c>
    </row>
    <row r="4" spans="2:12" x14ac:dyDescent="0.25">
      <c r="B4" s="154" t="s">
        <v>382</v>
      </c>
      <c r="C4" s="220">
        <v>44489</v>
      </c>
      <c r="D4" s="158">
        <f>-RTRE!G19</f>
        <v>8000000</v>
      </c>
      <c r="E4" s="158">
        <f>-RTRE!H19</f>
        <v>0</v>
      </c>
      <c r="F4" s="158">
        <f>SUM(D4:E4)</f>
        <v>8000000</v>
      </c>
      <c r="G4" s="173"/>
      <c r="H4" s="158">
        <f>-RTRE!J19</f>
        <v>1000608</v>
      </c>
      <c r="I4" s="158">
        <f>-RTRE!K19</f>
        <v>177088.04452500003</v>
      </c>
      <c r="J4" s="158">
        <f>-RTRE!M19</f>
        <v>2599275</v>
      </c>
      <c r="K4" s="158">
        <f>SUM(H4:J4)</f>
        <v>3776971.0445250003</v>
      </c>
    </row>
    <row r="5" spans="2:12" x14ac:dyDescent="0.25">
      <c r="B5" s="222" t="s">
        <v>383</v>
      </c>
      <c r="C5" s="223">
        <v>44520</v>
      </c>
      <c r="D5" s="158">
        <f>-RTRE!G20</f>
        <v>8000000</v>
      </c>
      <c r="E5" s="158"/>
      <c r="F5" s="158">
        <f>SUM(D5:E5)</f>
        <v>8000000</v>
      </c>
      <c r="G5" s="173"/>
      <c r="H5" s="158">
        <f>-RTRE!J20</f>
        <v>0</v>
      </c>
      <c r="I5" s="158">
        <f>-RTRE!K20</f>
        <v>888888</v>
      </c>
      <c r="J5" s="158">
        <f>-RTRE!M20</f>
        <v>0</v>
      </c>
      <c r="K5" s="158">
        <f>SUM(H5:J5)</f>
        <v>888888</v>
      </c>
    </row>
    <row r="6" spans="2:12" ht="15.75" thickBot="1" x14ac:dyDescent="0.3">
      <c r="B6" s="224" t="s">
        <v>490</v>
      </c>
      <c r="C6" s="225"/>
      <c r="D6" s="165">
        <f>SUM(D4:D5)</f>
        <v>16000000</v>
      </c>
      <c r="E6" s="165">
        <f>SUM(E4:E5)</f>
        <v>0</v>
      </c>
      <c r="F6" s="165">
        <f>SUM(F4:F5)</f>
        <v>16000000</v>
      </c>
      <c r="G6" s="173"/>
      <c r="H6" s="165">
        <f>SUM(H4:H5)</f>
        <v>1000608</v>
      </c>
      <c r="I6" s="165">
        <f>SUM(I4:I5)</f>
        <v>1065976.044525</v>
      </c>
      <c r="J6" s="165">
        <f t="shared" ref="J6" si="0">SUM(J4:J5)</f>
        <v>2599275</v>
      </c>
      <c r="K6" s="165">
        <f>SUM(K4:K5)</f>
        <v>4665859.0445250003</v>
      </c>
      <c r="L6" s="129"/>
    </row>
    <row r="7" spans="2:12" ht="15.75" thickTop="1" x14ac:dyDescent="0.25">
      <c r="B7" s="173"/>
      <c r="C7" s="173"/>
      <c r="D7" s="173"/>
      <c r="E7" s="173"/>
      <c r="F7" s="173"/>
      <c r="G7" s="173"/>
      <c r="H7" s="173"/>
      <c r="I7" s="173"/>
      <c r="J7" s="173"/>
      <c r="K7" s="173"/>
    </row>
    <row r="8" spans="2:12" x14ac:dyDescent="0.25">
      <c r="B8" s="173"/>
      <c r="C8" s="173"/>
      <c r="D8" s="173"/>
      <c r="E8" s="173"/>
      <c r="F8" s="173"/>
      <c r="G8" s="173"/>
      <c r="H8" s="173"/>
      <c r="I8" s="173"/>
      <c r="J8" s="173"/>
      <c r="K8" s="173"/>
    </row>
    <row r="9" spans="2:12" x14ac:dyDescent="0.25">
      <c r="B9" s="668" t="s">
        <v>135</v>
      </c>
      <c r="C9" s="670"/>
      <c r="D9" s="668" t="s">
        <v>243</v>
      </c>
      <c r="E9" s="669"/>
      <c r="F9" s="670"/>
      <c r="G9" s="173"/>
      <c r="H9" s="667" t="s">
        <v>131</v>
      </c>
      <c r="I9" s="667"/>
      <c r="J9" s="667"/>
      <c r="K9" s="667"/>
    </row>
    <row r="10" spans="2:12" ht="51" x14ac:dyDescent="0.25">
      <c r="B10" s="555" t="s">
        <v>488</v>
      </c>
      <c r="C10" s="556"/>
      <c r="D10" s="153" t="s">
        <v>284</v>
      </c>
      <c r="E10" s="153" t="s">
        <v>583</v>
      </c>
      <c r="F10" s="153" t="s">
        <v>133</v>
      </c>
      <c r="G10" s="173"/>
      <c r="H10" s="153" t="s">
        <v>59</v>
      </c>
      <c r="I10" s="153" t="s">
        <v>132</v>
      </c>
      <c r="J10" s="153" t="s">
        <v>58</v>
      </c>
      <c r="K10" s="153" t="s">
        <v>133</v>
      </c>
    </row>
    <row r="11" spans="2:12" x14ac:dyDescent="0.25">
      <c r="B11" s="154" t="s">
        <v>382</v>
      </c>
      <c r="C11" s="466">
        <v>1.018</v>
      </c>
      <c r="D11" s="158">
        <f>ROUND(+D4*C11,0)</f>
        <v>8144000</v>
      </c>
      <c r="E11" s="158">
        <f>ROUND(+E4*C11,0)</f>
        <v>0</v>
      </c>
      <c r="F11" s="158">
        <f>SUM(D11:E11)</f>
        <v>8144000</v>
      </c>
      <c r="G11" s="173"/>
      <c r="H11" s="158">
        <f>ROUND(+H4*C11,0)</f>
        <v>1018619</v>
      </c>
      <c r="I11" s="158">
        <f>ROUND(+I4*C11,0)</f>
        <v>180276</v>
      </c>
      <c r="J11" s="158">
        <f>ROUND(+J4*C11,0)</f>
        <v>2646062</v>
      </c>
      <c r="K11" s="158">
        <f>SUM(H11:J11)</f>
        <v>3844957</v>
      </c>
    </row>
    <row r="12" spans="2:12" x14ac:dyDescent="0.25">
      <c r="B12" s="222" t="s">
        <v>383</v>
      </c>
      <c r="C12" s="467">
        <v>1.0049999999999999</v>
      </c>
      <c r="D12" s="158">
        <f>ROUND(+D5*C12,0)</f>
        <v>8040000</v>
      </c>
      <c r="E12" s="158">
        <f>ROUND(+E5*D12,0)</f>
        <v>0</v>
      </c>
      <c r="F12" s="158">
        <f>SUM(D12:E12)</f>
        <v>8040000</v>
      </c>
      <c r="G12" s="173"/>
      <c r="H12" s="158">
        <f>ROUND(+H5*C12,0)</f>
        <v>0</v>
      </c>
      <c r="I12" s="158">
        <f>ROUND(+I5*C12,0)</f>
        <v>893332</v>
      </c>
      <c r="J12" s="158">
        <f>ROUND(+J5*C12,0)</f>
        <v>0</v>
      </c>
      <c r="K12" s="158">
        <f>SUM(H12:J12)</f>
        <v>893332</v>
      </c>
    </row>
    <row r="13" spans="2:12" ht="15.75" thickBot="1" x14ac:dyDescent="0.3">
      <c r="B13" s="224" t="s">
        <v>490</v>
      </c>
      <c r="C13" s="225"/>
      <c r="D13" s="165">
        <f>SUM(D11:D12)</f>
        <v>16184000</v>
      </c>
      <c r="E13" s="165">
        <f>SUM(E11:E12)</f>
        <v>0</v>
      </c>
      <c r="F13" s="165">
        <f>SUM(F11:F12)</f>
        <v>16184000</v>
      </c>
      <c r="G13" s="173"/>
      <c r="H13" s="165">
        <f>SUM(H11:H12)</f>
        <v>1018619</v>
      </c>
      <c r="I13" s="165">
        <f>SUM(I11:I12)</f>
        <v>1073608</v>
      </c>
      <c r="J13" s="165">
        <f>SUM(J11:J12)</f>
        <v>2646062</v>
      </c>
      <c r="K13" s="165">
        <f>SUM(K11:K12)</f>
        <v>4738289</v>
      </c>
    </row>
    <row r="14" spans="2:12" ht="15.75" thickTop="1" x14ac:dyDescent="0.25"/>
  </sheetData>
  <mergeCells count="8">
    <mergeCell ref="H2:K2"/>
    <mergeCell ref="H9:K9"/>
    <mergeCell ref="D9:F9"/>
    <mergeCell ref="B10:C10"/>
    <mergeCell ref="B9:C9"/>
    <mergeCell ref="B2:C2"/>
    <mergeCell ref="B3:C3"/>
    <mergeCell ref="D2:F2"/>
  </mergeCells>
  <phoneticPr fontId="33"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AK58"/>
  <sheetViews>
    <sheetView showGridLines="0" topLeftCell="A37" zoomScale="70" zoomScaleNormal="70" zoomScalePageLayoutView="70" workbookViewId="0">
      <selection activeCell="B29" sqref="B29"/>
    </sheetView>
  </sheetViews>
  <sheetFormatPr baseColWidth="10" defaultColWidth="11.42578125" defaultRowHeight="15" x14ac:dyDescent="0.25"/>
  <cols>
    <col min="1" max="1" width="4.85546875" style="118" customWidth="1"/>
    <col min="2" max="2" width="16.140625" style="118" customWidth="1"/>
    <col min="3" max="4" width="16.42578125" style="118" customWidth="1"/>
    <col min="5" max="5" width="13.42578125" style="118" customWidth="1"/>
    <col min="6" max="6" width="17" style="118" customWidth="1"/>
    <col min="7" max="7" width="18.85546875" style="118" customWidth="1"/>
    <col min="8" max="8" width="15" style="118" customWidth="1"/>
    <col min="9" max="9" width="15.42578125" style="118" customWidth="1"/>
    <col min="10" max="10" width="23.42578125" style="118" customWidth="1"/>
    <col min="11" max="11" width="20.42578125" style="118" customWidth="1"/>
    <col min="12" max="12" width="19.42578125" style="118" customWidth="1"/>
    <col min="13" max="14" width="15.42578125" style="118" customWidth="1"/>
    <col min="15" max="16" width="18.42578125" style="118" customWidth="1"/>
    <col min="17" max="17" width="15.85546875" style="118" customWidth="1"/>
    <col min="18" max="18" width="16.42578125" style="118" customWidth="1"/>
    <col min="19" max="19" width="15.42578125" style="118" customWidth="1"/>
    <col min="20" max="20" width="16.42578125" style="118" customWidth="1"/>
    <col min="21" max="21" width="15.42578125" style="118" customWidth="1"/>
    <col min="22" max="26" width="15" style="118" customWidth="1"/>
    <col min="27" max="27" width="16.42578125" style="118" customWidth="1"/>
    <col min="28" max="31" width="13.42578125" style="118" customWidth="1"/>
    <col min="32" max="32" width="17.42578125" style="118" customWidth="1"/>
    <col min="33" max="33" width="12.42578125" style="118" customWidth="1"/>
    <col min="34" max="34" width="13.42578125" style="118" customWidth="1"/>
    <col min="35" max="35" width="11.42578125" style="118" customWidth="1"/>
    <col min="36" max="36" width="12.42578125" style="118" customWidth="1"/>
    <col min="37" max="37" width="14.42578125" style="118" customWidth="1"/>
    <col min="38" max="47" width="11.42578125" style="118"/>
    <col min="48" max="48" width="13" style="118" customWidth="1"/>
    <col min="49" max="16384" width="11.42578125" style="118"/>
  </cols>
  <sheetData>
    <row r="2" spans="2:35" ht="18.75" customHeight="1" x14ac:dyDescent="0.25">
      <c r="D2" s="720"/>
      <c r="E2" s="720"/>
      <c r="F2" s="720"/>
      <c r="G2" s="720"/>
      <c r="H2" s="720"/>
      <c r="I2" s="720"/>
      <c r="J2" s="720"/>
      <c r="K2" s="720"/>
      <c r="L2" s="720"/>
      <c r="M2" s="720"/>
    </row>
    <row r="3" spans="2:35" ht="23.25" customHeight="1" x14ac:dyDescent="0.25">
      <c r="D3" s="720"/>
      <c r="E3" s="720"/>
      <c r="F3" s="720"/>
      <c r="G3" s="720"/>
      <c r="H3" s="720"/>
      <c r="I3" s="720"/>
      <c r="J3" s="720"/>
      <c r="K3" s="720"/>
      <c r="L3" s="720"/>
      <c r="M3" s="720"/>
    </row>
    <row r="4" spans="2:35" ht="21" x14ac:dyDescent="0.35">
      <c r="D4" s="119"/>
      <c r="E4" s="120"/>
      <c r="F4" s="120"/>
    </row>
    <row r="5" spans="2:35" s="121" customFormat="1" ht="16.5" customHeight="1" x14ac:dyDescent="0.25">
      <c r="B5" s="492" t="s">
        <v>244</v>
      </c>
      <c r="C5" s="493"/>
      <c r="D5" s="493"/>
      <c r="E5" s="493"/>
      <c r="F5" s="493"/>
      <c r="G5" s="493"/>
      <c r="H5" s="493"/>
      <c r="I5" s="493"/>
      <c r="J5" s="493"/>
      <c r="K5" s="493"/>
      <c r="L5" s="493"/>
      <c r="M5" s="493"/>
      <c r="N5" s="493"/>
      <c r="O5" s="493"/>
      <c r="P5" s="493"/>
      <c r="Q5" s="468"/>
      <c r="R5" s="468"/>
      <c r="S5" s="468"/>
      <c r="T5" s="468"/>
      <c r="U5" s="468"/>
      <c r="V5" s="468"/>
      <c r="W5" s="468"/>
      <c r="X5" s="468"/>
      <c r="Y5" s="468"/>
      <c r="Z5" s="468"/>
      <c r="AA5" s="468"/>
      <c r="AB5" s="468"/>
      <c r="AC5" s="468"/>
      <c r="AD5" s="468"/>
      <c r="AE5" s="468"/>
      <c r="AF5" s="468"/>
      <c r="AG5" s="468"/>
      <c r="AH5" s="468"/>
      <c r="AI5" s="468"/>
    </row>
    <row r="6" spans="2:35" x14ac:dyDescent="0.25">
      <c r="B6" s="493"/>
      <c r="C6" s="493"/>
      <c r="D6" s="493"/>
      <c r="E6" s="493"/>
      <c r="F6" s="493"/>
      <c r="G6" s="493"/>
      <c r="H6" s="493"/>
      <c r="I6" s="493"/>
      <c r="J6" s="493"/>
      <c r="K6" s="493"/>
      <c r="L6" s="493"/>
      <c r="M6" s="493"/>
      <c r="N6" s="493"/>
      <c r="O6" s="493"/>
      <c r="P6" s="493"/>
      <c r="Q6" s="468"/>
      <c r="R6" s="468"/>
      <c r="S6" s="468"/>
      <c r="T6" s="468"/>
      <c r="U6" s="468"/>
      <c r="V6" s="468"/>
      <c r="W6" s="468"/>
      <c r="X6" s="468"/>
      <c r="Y6" s="468"/>
      <c r="Z6" s="468"/>
      <c r="AA6" s="468"/>
      <c r="AB6" s="468"/>
      <c r="AC6" s="468"/>
      <c r="AD6" s="468"/>
      <c r="AE6" s="468"/>
      <c r="AF6" s="468"/>
      <c r="AG6" s="468"/>
      <c r="AH6" s="469" t="s">
        <v>245</v>
      </c>
      <c r="AI6" s="468"/>
    </row>
    <row r="7" spans="2:35" x14ac:dyDescent="0.25">
      <c r="B7" s="494" t="s">
        <v>344</v>
      </c>
      <c r="C7" s="495"/>
      <c r="D7" s="495"/>
      <c r="E7" s="493"/>
      <c r="F7" s="493"/>
      <c r="G7" s="493"/>
      <c r="H7" s="493"/>
      <c r="I7" s="493"/>
      <c r="J7" s="493"/>
      <c r="K7" s="493"/>
      <c r="L7" s="493"/>
      <c r="M7" s="493"/>
      <c r="N7" s="493"/>
      <c r="O7" s="493"/>
      <c r="P7" s="493"/>
      <c r="Q7" s="468"/>
      <c r="R7" s="468"/>
      <c r="S7" s="468"/>
      <c r="T7" s="468"/>
      <c r="U7" s="468"/>
      <c r="V7" s="468"/>
      <c r="W7" s="468"/>
      <c r="X7" s="468"/>
      <c r="Y7" s="468"/>
      <c r="Z7" s="468"/>
      <c r="AA7" s="468"/>
      <c r="AB7" s="468"/>
      <c r="AC7" s="468"/>
      <c r="AD7" s="468"/>
      <c r="AE7" s="470"/>
      <c r="AF7" s="468"/>
      <c r="AG7" s="471" t="s">
        <v>345</v>
      </c>
      <c r="AH7" s="472"/>
      <c r="AI7" s="468"/>
    </row>
    <row r="8" spans="2:35" x14ac:dyDescent="0.25">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row>
    <row r="9" spans="2:35" ht="15" customHeight="1" x14ac:dyDescent="0.25">
      <c r="B9" s="473" t="s">
        <v>346</v>
      </c>
      <c r="C9" s="474"/>
      <c r="D9" s="679" t="s">
        <v>347</v>
      </c>
      <c r="E9" s="680"/>
      <c r="F9" s="681"/>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row>
    <row r="10" spans="2:35" x14ac:dyDescent="0.25">
      <c r="B10" s="677" t="s">
        <v>138</v>
      </c>
      <c r="C10" s="678"/>
      <c r="D10" s="679" t="s">
        <v>43</v>
      </c>
      <c r="E10" s="680"/>
      <c r="F10" s="681"/>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row>
    <row r="11" spans="2:35" ht="15" customHeight="1" x14ac:dyDescent="0.25">
      <c r="B11" s="473" t="s">
        <v>348</v>
      </c>
      <c r="C11" s="474"/>
      <c r="D11" s="679" t="s">
        <v>349</v>
      </c>
      <c r="E11" s="680"/>
      <c r="F11" s="681"/>
      <c r="G11" s="468"/>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row>
    <row r="12" spans="2:35" x14ac:dyDescent="0.25">
      <c r="B12" s="473"/>
      <c r="C12" s="474"/>
      <c r="D12" s="473"/>
      <c r="E12" s="475"/>
      <c r="F12" s="474"/>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68"/>
    </row>
    <row r="13" spans="2:35" x14ac:dyDescent="0.25">
      <c r="B13" s="473" t="s">
        <v>350</v>
      </c>
      <c r="C13" s="474"/>
      <c r="D13" s="679" t="s">
        <v>351</v>
      </c>
      <c r="E13" s="680"/>
      <c r="F13" s="681"/>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row>
    <row r="14" spans="2:35" x14ac:dyDescent="0.25">
      <c r="B14" s="473"/>
      <c r="C14" s="474"/>
      <c r="D14" s="679"/>
      <c r="E14" s="680"/>
      <c r="F14" s="681"/>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row>
    <row r="15" spans="2:35" x14ac:dyDescent="0.25">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row>
    <row r="16" spans="2:35" x14ac:dyDescent="0.25">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row>
    <row r="17" spans="2:35" x14ac:dyDescent="0.25">
      <c r="B17" s="495" t="s">
        <v>352</v>
      </c>
      <c r="C17" s="495" t="s">
        <v>353</v>
      </c>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row>
    <row r="18" spans="2:35" ht="21.75" customHeight="1" x14ac:dyDescent="0.25">
      <c r="B18" s="683" t="s">
        <v>253</v>
      </c>
      <c r="C18" s="683" t="s">
        <v>254</v>
      </c>
      <c r="D18" s="683" t="s">
        <v>255</v>
      </c>
      <c r="E18" s="682" t="s">
        <v>256</v>
      </c>
      <c r="F18" s="689" t="s">
        <v>257</v>
      </c>
      <c r="G18" s="689"/>
      <c r="H18" s="689"/>
      <c r="I18" s="689"/>
      <c r="J18" s="689"/>
      <c r="K18" s="689"/>
      <c r="L18" s="689"/>
      <c r="M18" s="689"/>
      <c r="N18" s="689"/>
      <c r="O18" s="689"/>
      <c r="P18" s="689"/>
      <c r="Q18" s="689"/>
      <c r="R18" s="682" t="s">
        <v>258</v>
      </c>
      <c r="S18" s="682"/>
      <c r="T18" s="682"/>
      <c r="U18" s="682"/>
      <c r="V18" s="682"/>
      <c r="W18" s="682"/>
      <c r="X18" s="682"/>
      <c r="Y18" s="682"/>
      <c r="Z18" s="682"/>
      <c r="AA18" s="682"/>
      <c r="AB18" s="682"/>
      <c r="AC18" s="682"/>
      <c r="AD18" s="682"/>
      <c r="AE18" s="682"/>
      <c r="AF18" s="682"/>
      <c r="AG18" s="682" t="s">
        <v>259</v>
      </c>
      <c r="AH18" s="682" t="s">
        <v>362</v>
      </c>
      <c r="AI18" s="495"/>
    </row>
    <row r="19" spans="2:35" s="117" customFormat="1" ht="27" customHeight="1" x14ac:dyDescent="0.25">
      <c r="B19" s="683"/>
      <c r="C19" s="683"/>
      <c r="D19" s="683"/>
      <c r="E19" s="682"/>
      <c r="F19" s="683" t="s">
        <v>363</v>
      </c>
      <c r="G19" s="683"/>
      <c r="H19" s="683"/>
      <c r="I19" s="683"/>
      <c r="J19" s="702" t="s">
        <v>364</v>
      </c>
      <c r="K19" s="703"/>
      <c r="L19" s="703"/>
      <c r="M19" s="703"/>
      <c r="N19" s="703"/>
      <c r="O19" s="496"/>
      <c r="P19" s="496"/>
      <c r="Q19" s="496"/>
      <c r="R19" s="684" t="s">
        <v>365</v>
      </c>
      <c r="S19" s="707"/>
      <c r="T19" s="707"/>
      <c r="U19" s="707"/>
      <c r="V19" s="707"/>
      <c r="W19" s="707"/>
      <c r="X19" s="707"/>
      <c r="Y19" s="707"/>
      <c r="Z19" s="685"/>
      <c r="AA19" s="684" t="s">
        <v>366</v>
      </c>
      <c r="AB19" s="707"/>
      <c r="AC19" s="707"/>
      <c r="AD19" s="707"/>
      <c r="AE19" s="685"/>
      <c r="AF19" s="682" t="s">
        <v>367</v>
      </c>
      <c r="AG19" s="682"/>
      <c r="AH19" s="682"/>
      <c r="AI19" s="497"/>
    </row>
    <row r="20" spans="2:35" s="122" customFormat="1" ht="55.5" customHeight="1" x14ac:dyDescent="0.25">
      <c r="B20" s="683"/>
      <c r="C20" s="683"/>
      <c r="D20" s="683"/>
      <c r="E20" s="682"/>
      <c r="F20" s="683"/>
      <c r="G20" s="683"/>
      <c r="H20" s="683"/>
      <c r="I20" s="683"/>
      <c r="J20" s="718" t="s">
        <v>368</v>
      </c>
      <c r="K20" s="719"/>
      <c r="L20" s="719"/>
      <c r="M20" s="719"/>
      <c r="N20" s="719"/>
      <c r="O20" s="715" t="s">
        <v>369</v>
      </c>
      <c r="P20" s="712"/>
      <c r="Q20" s="690" t="s">
        <v>370</v>
      </c>
      <c r="R20" s="684" t="s">
        <v>371</v>
      </c>
      <c r="S20" s="707"/>
      <c r="T20" s="707"/>
      <c r="U20" s="707"/>
      <c r="V20" s="707"/>
      <c r="W20" s="685"/>
      <c r="X20" s="684" t="s">
        <v>307</v>
      </c>
      <c r="Y20" s="685"/>
      <c r="Z20" s="693" t="s">
        <v>372</v>
      </c>
      <c r="AA20" s="684" t="s">
        <v>371</v>
      </c>
      <c r="AB20" s="685"/>
      <c r="AC20" s="684" t="s">
        <v>307</v>
      </c>
      <c r="AD20" s="685"/>
      <c r="AE20" s="693" t="s">
        <v>372</v>
      </c>
      <c r="AF20" s="682"/>
      <c r="AG20" s="682"/>
      <c r="AH20" s="682"/>
      <c r="AI20" s="497"/>
    </row>
    <row r="21" spans="2:35" s="122" customFormat="1" ht="56.25" customHeight="1" x14ac:dyDescent="0.25">
      <c r="B21" s="683"/>
      <c r="C21" s="683"/>
      <c r="D21" s="683"/>
      <c r="E21" s="682"/>
      <c r="F21" s="683"/>
      <c r="G21" s="683"/>
      <c r="H21" s="683"/>
      <c r="I21" s="683"/>
      <c r="J21" s="709" t="s">
        <v>373</v>
      </c>
      <c r="K21" s="712" t="s">
        <v>374</v>
      </c>
      <c r="L21" s="693" t="s">
        <v>375</v>
      </c>
      <c r="M21" s="690" t="s">
        <v>276</v>
      </c>
      <c r="N21" s="690" t="s">
        <v>169</v>
      </c>
      <c r="O21" s="715" t="s">
        <v>170</v>
      </c>
      <c r="P21" s="690" t="s">
        <v>171</v>
      </c>
      <c r="Q21" s="691"/>
      <c r="R21" s="684" t="s">
        <v>172</v>
      </c>
      <c r="S21" s="685"/>
      <c r="T21" s="684" t="s">
        <v>281</v>
      </c>
      <c r="U21" s="685"/>
      <c r="V21" s="684" t="s">
        <v>435</v>
      </c>
      <c r="W21" s="685"/>
      <c r="X21" s="684" t="s">
        <v>435</v>
      </c>
      <c r="Y21" s="685"/>
      <c r="Z21" s="694"/>
      <c r="AA21" s="682" t="s">
        <v>282</v>
      </c>
      <c r="AB21" s="682" t="s">
        <v>283</v>
      </c>
      <c r="AC21" s="682" t="s">
        <v>282</v>
      </c>
      <c r="AD21" s="682" t="s">
        <v>283</v>
      </c>
      <c r="AE21" s="694"/>
      <c r="AF21" s="682"/>
      <c r="AG21" s="682"/>
      <c r="AH21" s="682"/>
      <c r="AI21" s="497"/>
    </row>
    <row r="22" spans="2:35" s="122" customFormat="1" ht="44.25" customHeight="1" x14ac:dyDescent="0.25">
      <c r="B22" s="683"/>
      <c r="C22" s="683"/>
      <c r="D22" s="683"/>
      <c r="E22" s="682"/>
      <c r="F22" s="708" t="s">
        <v>284</v>
      </c>
      <c r="G22" s="683" t="s">
        <v>285</v>
      </c>
      <c r="H22" s="683" t="s">
        <v>286</v>
      </c>
      <c r="I22" s="683" t="s">
        <v>187</v>
      </c>
      <c r="J22" s="710"/>
      <c r="K22" s="713"/>
      <c r="L22" s="694"/>
      <c r="M22" s="691"/>
      <c r="N22" s="691"/>
      <c r="O22" s="716"/>
      <c r="P22" s="691"/>
      <c r="Q22" s="691"/>
      <c r="R22" s="682" t="s">
        <v>282</v>
      </c>
      <c r="S22" s="682" t="s">
        <v>283</v>
      </c>
      <c r="T22" s="682" t="s">
        <v>282</v>
      </c>
      <c r="U22" s="682" t="s">
        <v>283</v>
      </c>
      <c r="V22" s="682" t="s">
        <v>282</v>
      </c>
      <c r="W22" s="682" t="s">
        <v>283</v>
      </c>
      <c r="X22" s="682" t="s">
        <v>282</v>
      </c>
      <c r="Y22" s="682" t="s">
        <v>283</v>
      </c>
      <c r="Z22" s="694"/>
      <c r="AA22" s="682"/>
      <c r="AB22" s="682"/>
      <c r="AC22" s="682"/>
      <c r="AD22" s="682"/>
      <c r="AE22" s="694"/>
      <c r="AF22" s="682"/>
      <c r="AG22" s="682"/>
      <c r="AH22" s="682"/>
      <c r="AI22" s="497"/>
    </row>
    <row r="23" spans="2:35" s="122" customFormat="1" ht="67.5" customHeight="1" x14ac:dyDescent="0.25">
      <c r="B23" s="683"/>
      <c r="C23" s="683"/>
      <c r="D23" s="683"/>
      <c r="E23" s="682"/>
      <c r="F23" s="708"/>
      <c r="G23" s="683"/>
      <c r="H23" s="683"/>
      <c r="I23" s="683"/>
      <c r="J23" s="711"/>
      <c r="K23" s="714"/>
      <c r="L23" s="695"/>
      <c r="M23" s="692"/>
      <c r="N23" s="692"/>
      <c r="O23" s="717"/>
      <c r="P23" s="692"/>
      <c r="Q23" s="692"/>
      <c r="R23" s="682"/>
      <c r="S23" s="682"/>
      <c r="T23" s="682"/>
      <c r="U23" s="682"/>
      <c r="V23" s="682"/>
      <c r="W23" s="682"/>
      <c r="X23" s="682"/>
      <c r="Y23" s="682"/>
      <c r="Z23" s="695"/>
      <c r="AA23" s="682"/>
      <c r="AB23" s="682"/>
      <c r="AC23" s="682"/>
      <c r="AD23" s="682"/>
      <c r="AE23" s="695"/>
      <c r="AF23" s="682"/>
      <c r="AG23" s="682"/>
      <c r="AH23" s="682"/>
      <c r="AI23" s="497"/>
    </row>
    <row r="24" spans="2:35" x14ac:dyDescent="0.25">
      <c r="B24" s="477" t="s">
        <v>188</v>
      </c>
      <c r="C24" s="477" t="s">
        <v>189</v>
      </c>
      <c r="D24" s="477" t="s">
        <v>190</v>
      </c>
      <c r="E24" s="477" t="s">
        <v>191</v>
      </c>
      <c r="F24" s="477" t="s">
        <v>192</v>
      </c>
      <c r="G24" s="477" t="s">
        <v>193</v>
      </c>
      <c r="H24" s="477" t="s">
        <v>194</v>
      </c>
      <c r="I24" s="477" t="s">
        <v>195</v>
      </c>
      <c r="J24" s="477" t="s">
        <v>196</v>
      </c>
      <c r="K24" s="477" t="s">
        <v>197</v>
      </c>
      <c r="L24" s="477" t="s">
        <v>198</v>
      </c>
      <c r="M24" s="477" t="s">
        <v>199</v>
      </c>
      <c r="N24" s="477" t="s">
        <v>200</v>
      </c>
      <c r="O24" s="477" t="s">
        <v>201</v>
      </c>
      <c r="P24" s="477" t="s">
        <v>202</v>
      </c>
      <c r="Q24" s="477" t="s">
        <v>203</v>
      </c>
      <c r="R24" s="477" t="s">
        <v>204</v>
      </c>
      <c r="S24" s="477" t="s">
        <v>205</v>
      </c>
      <c r="T24" s="477" t="s">
        <v>206</v>
      </c>
      <c r="U24" s="477" t="s">
        <v>207</v>
      </c>
      <c r="V24" s="477" t="s">
        <v>208</v>
      </c>
      <c r="W24" s="477" t="s">
        <v>209</v>
      </c>
      <c r="X24" s="477" t="s">
        <v>210</v>
      </c>
      <c r="Y24" s="477" t="s">
        <v>211</v>
      </c>
      <c r="Z24" s="477" t="s">
        <v>212</v>
      </c>
      <c r="AA24" s="477" t="s">
        <v>213</v>
      </c>
      <c r="AB24" s="477" t="s">
        <v>214</v>
      </c>
      <c r="AC24" s="477" t="s">
        <v>215</v>
      </c>
      <c r="AD24" s="477" t="s">
        <v>216</v>
      </c>
      <c r="AE24" s="477" t="s">
        <v>217</v>
      </c>
      <c r="AF24" s="477" t="s">
        <v>218</v>
      </c>
      <c r="AG24" s="477" t="s">
        <v>219</v>
      </c>
      <c r="AH24" s="477" t="s">
        <v>220</v>
      </c>
      <c r="AI24" s="468"/>
    </row>
    <row r="25" spans="2:35" x14ac:dyDescent="0.25">
      <c r="B25" s="478">
        <f>+'Datos para DJ 1948'!C4</f>
        <v>44489</v>
      </c>
      <c r="C25" s="479" t="s">
        <v>136</v>
      </c>
      <c r="D25" s="479"/>
      <c r="E25" s="479"/>
      <c r="F25" s="480">
        <f>+'Datos para DJ 1948'!D11</f>
        <v>8144000</v>
      </c>
      <c r="G25" s="479"/>
      <c r="H25" s="479"/>
      <c r="I25" s="479"/>
      <c r="J25" s="480">
        <f>M32</f>
        <v>0</v>
      </c>
      <c r="K25" s="479"/>
      <c r="L25" s="479"/>
      <c r="M25" s="479"/>
      <c r="N25" s="479"/>
      <c r="O25" s="479"/>
      <c r="P25" s="479"/>
      <c r="Q25" s="479"/>
      <c r="R25" s="479"/>
      <c r="S25" s="479"/>
      <c r="T25" s="479">
        <f>'Datos para DJ 1948'!H11</f>
        <v>1018619</v>
      </c>
      <c r="U25" s="479">
        <f>'Datos para DJ 1948'!I11</f>
        <v>180276</v>
      </c>
      <c r="V25" s="479"/>
      <c r="W25" s="479"/>
      <c r="X25" s="479"/>
      <c r="Y25" s="479"/>
      <c r="Z25" s="479">
        <f>'Datos para DJ 1948'!J11</f>
        <v>2646062</v>
      </c>
      <c r="AA25" s="479"/>
      <c r="AB25" s="479"/>
      <c r="AC25" s="479"/>
      <c r="AD25" s="479"/>
      <c r="AE25" s="479"/>
      <c r="AF25" s="479"/>
      <c r="AG25" s="479"/>
      <c r="AH25" s="479">
        <v>1</v>
      </c>
      <c r="AI25" s="468"/>
    </row>
    <row r="26" spans="2:35" x14ac:dyDescent="0.25">
      <c r="B26" s="478">
        <f>+'Datos para DJ 1948'!C5</f>
        <v>44520</v>
      </c>
      <c r="C26" s="479" t="s">
        <v>137</v>
      </c>
      <c r="D26" s="479"/>
      <c r="E26" s="479"/>
      <c r="F26" s="480">
        <f>+'Datos para DJ 1948'!D12</f>
        <v>8040000</v>
      </c>
      <c r="G26" s="479"/>
      <c r="H26" s="479"/>
      <c r="I26" s="479"/>
      <c r="J26" s="479"/>
      <c r="K26" s="479"/>
      <c r="L26" s="479"/>
      <c r="M26" s="479"/>
      <c r="N26" s="479"/>
      <c r="O26" s="479"/>
      <c r="P26" s="479"/>
      <c r="Q26" s="479"/>
      <c r="R26" s="479"/>
      <c r="S26" s="479"/>
      <c r="T26" s="479">
        <f>'Datos para DJ 1948'!H12</f>
        <v>0</v>
      </c>
      <c r="U26" s="479">
        <f>'Datos para DJ 1948'!I12</f>
        <v>893332</v>
      </c>
      <c r="V26" s="479"/>
      <c r="W26" s="479"/>
      <c r="X26" s="479"/>
      <c r="Y26" s="479"/>
      <c r="Z26" s="479">
        <f>'Datos para DJ 1948'!J12</f>
        <v>0</v>
      </c>
      <c r="AA26" s="479"/>
      <c r="AB26" s="479"/>
      <c r="AC26" s="479"/>
      <c r="AD26" s="479"/>
      <c r="AE26" s="479"/>
      <c r="AF26" s="479"/>
      <c r="AG26" s="479"/>
      <c r="AH26" s="479">
        <v>2</v>
      </c>
      <c r="AI26" s="468"/>
    </row>
    <row r="27" spans="2:35" x14ac:dyDescent="0.25">
      <c r="B27" s="481"/>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68"/>
    </row>
    <row r="28" spans="2:35" s="117" customFormat="1" x14ac:dyDescent="0.25">
      <c r="B28" s="476"/>
      <c r="C28" s="476"/>
      <c r="D28" s="476"/>
      <c r="E28" s="476"/>
      <c r="F28" s="476"/>
      <c r="G28" s="476"/>
      <c r="H28" s="476"/>
      <c r="I28" s="476"/>
      <c r="J28" s="476"/>
      <c r="K28" s="482"/>
      <c r="L28" s="476"/>
      <c r="M28" s="476"/>
      <c r="N28" s="476"/>
      <c r="O28" s="476"/>
      <c r="P28" s="476"/>
      <c r="Q28" s="476"/>
      <c r="R28" s="476"/>
      <c r="S28" s="476"/>
      <c r="T28" s="476"/>
      <c r="U28" s="476"/>
      <c r="V28" s="476"/>
      <c r="W28" s="476"/>
      <c r="X28" s="476"/>
      <c r="Y28" s="476"/>
      <c r="Z28" s="476"/>
      <c r="AA28" s="476"/>
      <c r="AB28" s="476"/>
      <c r="AC28" s="476"/>
      <c r="AD28" s="476"/>
      <c r="AE28" s="476"/>
      <c r="AF28" s="476"/>
      <c r="AG28" s="476"/>
      <c r="AH28" s="476"/>
      <c r="AI28" s="476"/>
    </row>
    <row r="29" spans="2:35" s="117" customFormat="1" x14ac:dyDescent="0.25">
      <c r="B29" s="495" t="s">
        <v>221</v>
      </c>
      <c r="C29" s="497" t="s">
        <v>300</v>
      </c>
      <c r="D29" s="497"/>
      <c r="E29" s="497"/>
      <c r="F29" s="497"/>
      <c r="G29" s="497"/>
      <c r="H29" s="476"/>
      <c r="I29" s="476"/>
      <c r="J29" s="476"/>
      <c r="K29" s="476"/>
      <c r="L29" s="476"/>
      <c r="M29" s="476"/>
      <c r="N29" s="476"/>
      <c r="O29" s="476"/>
      <c r="P29" s="476"/>
      <c r="Q29" s="476"/>
      <c r="R29" s="476"/>
      <c r="S29" s="476"/>
      <c r="T29" s="476"/>
      <c r="U29" s="476"/>
      <c r="V29" s="476"/>
      <c r="W29" s="476"/>
      <c r="X29" s="476"/>
      <c r="Y29" s="476"/>
      <c r="Z29" s="476"/>
      <c r="AA29" s="476"/>
      <c r="AB29" s="476"/>
      <c r="AC29" s="476"/>
      <c r="AD29" s="476"/>
      <c r="AE29" s="476"/>
      <c r="AF29" s="476"/>
      <c r="AG29" s="476"/>
      <c r="AH29" s="476"/>
      <c r="AI29" s="476"/>
    </row>
    <row r="30" spans="2:35" s="117" customFormat="1" ht="15" customHeight="1" x14ac:dyDescent="0.25">
      <c r="B30" s="683" t="s">
        <v>301</v>
      </c>
      <c r="C30" s="683" t="s">
        <v>302</v>
      </c>
      <c r="D30" s="483"/>
      <c r="E30" s="476"/>
      <c r="F30" s="123"/>
      <c r="G30" s="123"/>
      <c r="H30" s="123"/>
      <c r="I30" s="476"/>
      <c r="J30" s="476"/>
      <c r="K30" s="468"/>
      <c r="L30" s="468"/>
      <c r="M30" s="468"/>
      <c r="N30" s="468"/>
      <c r="O30" s="468"/>
      <c r="P30" s="476"/>
      <c r="Q30" s="476"/>
      <c r="R30" s="476"/>
      <c r="S30" s="476"/>
      <c r="T30" s="476"/>
      <c r="U30" s="476"/>
      <c r="V30" s="476"/>
      <c r="W30" s="476"/>
      <c r="X30" s="476"/>
      <c r="Y30" s="476"/>
      <c r="Z30" s="476"/>
      <c r="AA30" s="476"/>
      <c r="AB30" s="476"/>
      <c r="AC30" s="476"/>
      <c r="AD30" s="476"/>
      <c r="AE30" s="476"/>
      <c r="AF30" s="476"/>
      <c r="AG30" s="476"/>
      <c r="AH30" s="476"/>
      <c r="AI30" s="476"/>
    </row>
    <row r="31" spans="2:35" s="117" customFormat="1" ht="15" customHeight="1" x14ac:dyDescent="0.25">
      <c r="B31" s="683"/>
      <c r="C31" s="683"/>
      <c r="D31" s="483"/>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row>
    <row r="32" spans="2:35" s="117" customFormat="1" ht="15" customHeight="1" x14ac:dyDescent="0.25">
      <c r="B32" s="683"/>
      <c r="C32" s="683"/>
      <c r="D32" s="483"/>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c r="AF32" s="476"/>
      <c r="AG32" s="476"/>
      <c r="AH32" s="476"/>
      <c r="AI32" s="476"/>
    </row>
    <row r="33" spans="2:37" s="117" customFormat="1" x14ac:dyDescent="0.25">
      <c r="B33" s="683"/>
      <c r="C33" s="683"/>
      <c r="D33" s="483"/>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c r="AF33" s="476"/>
      <c r="AG33" s="476"/>
      <c r="AH33" s="476"/>
      <c r="AI33" s="476"/>
    </row>
    <row r="34" spans="2:37" s="117" customFormat="1" x14ac:dyDescent="0.25">
      <c r="B34" s="683"/>
      <c r="C34" s="683"/>
      <c r="D34" s="483"/>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row>
    <row r="35" spans="2:37" s="117" customFormat="1" x14ac:dyDescent="0.25">
      <c r="B35" s="484" t="s">
        <v>303</v>
      </c>
      <c r="C35" s="484" t="s">
        <v>304</v>
      </c>
      <c r="D35" s="485"/>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c r="AF35" s="476"/>
      <c r="AG35" s="476"/>
      <c r="AH35" s="476"/>
      <c r="AI35" s="476"/>
    </row>
    <row r="36" spans="2:37" x14ac:dyDescent="0.25">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row>
    <row r="37" spans="2:37" x14ac:dyDescent="0.25">
      <c r="B37" s="686" t="s">
        <v>619</v>
      </c>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8"/>
      <c r="AG37" s="495"/>
      <c r="AH37" s="495"/>
      <c r="AI37" s="495"/>
      <c r="AK37" s="117"/>
    </row>
    <row r="38" spans="2:37" ht="36" customHeight="1" x14ac:dyDescent="0.25">
      <c r="B38" s="682" t="s">
        <v>256</v>
      </c>
      <c r="C38" s="689" t="s">
        <v>257</v>
      </c>
      <c r="D38" s="689"/>
      <c r="E38" s="689"/>
      <c r="F38" s="689"/>
      <c r="G38" s="689"/>
      <c r="H38" s="689"/>
      <c r="I38" s="689"/>
      <c r="J38" s="689"/>
      <c r="K38" s="689"/>
      <c r="L38" s="689"/>
      <c r="M38" s="689"/>
      <c r="N38" s="689"/>
      <c r="O38" s="683" t="s">
        <v>258</v>
      </c>
      <c r="P38" s="683"/>
      <c r="Q38" s="683"/>
      <c r="R38" s="683"/>
      <c r="S38" s="683"/>
      <c r="T38" s="683"/>
      <c r="U38" s="683"/>
      <c r="V38" s="683"/>
      <c r="W38" s="683"/>
      <c r="X38" s="683"/>
      <c r="Y38" s="683"/>
      <c r="Z38" s="683"/>
      <c r="AA38" s="683"/>
      <c r="AB38" s="683"/>
      <c r="AC38" s="683"/>
      <c r="AD38" s="682" t="s">
        <v>259</v>
      </c>
      <c r="AE38" s="693" t="s">
        <v>302</v>
      </c>
      <c r="AF38" s="683" t="s">
        <v>305</v>
      </c>
      <c r="AG38" s="495"/>
      <c r="AH38" s="495"/>
      <c r="AI38" s="495"/>
    </row>
    <row r="39" spans="2:37" ht="28.5" customHeight="1" x14ac:dyDescent="0.25">
      <c r="B39" s="682"/>
      <c r="C39" s="683" t="s">
        <v>363</v>
      </c>
      <c r="D39" s="683"/>
      <c r="E39" s="683"/>
      <c r="F39" s="683"/>
      <c r="G39" s="702" t="s">
        <v>364</v>
      </c>
      <c r="H39" s="703"/>
      <c r="I39" s="703"/>
      <c r="J39" s="703"/>
      <c r="K39" s="703"/>
      <c r="L39" s="496"/>
      <c r="M39" s="496"/>
      <c r="N39" s="496"/>
      <c r="O39" s="702" t="s">
        <v>365</v>
      </c>
      <c r="P39" s="703"/>
      <c r="Q39" s="703"/>
      <c r="R39" s="703"/>
      <c r="S39" s="703"/>
      <c r="T39" s="703"/>
      <c r="U39" s="703"/>
      <c r="V39" s="703"/>
      <c r="W39" s="704"/>
      <c r="X39" s="702" t="s">
        <v>366</v>
      </c>
      <c r="Y39" s="703"/>
      <c r="Z39" s="703"/>
      <c r="AA39" s="703"/>
      <c r="AB39" s="704"/>
      <c r="AC39" s="682" t="s">
        <v>367</v>
      </c>
      <c r="AD39" s="682"/>
      <c r="AE39" s="694"/>
      <c r="AF39" s="683"/>
      <c r="AG39" s="495"/>
      <c r="AH39" s="495"/>
      <c r="AI39" s="495"/>
      <c r="AJ39" s="117"/>
      <c r="AK39" s="117"/>
    </row>
    <row r="40" spans="2:37" ht="54" customHeight="1" x14ac:dyDescent="0.25">
      <c r="B40" s="682"/>
      <c r="C40" s="683"/>
      <c r="D40" s="683"/>
      <c r="E40" s="683"/>
      <c r="F40" s="683"/>
      <c r="G40" s="705" t="s">
        <v>368</v>
      </c>
      <c r="H40" s="706"/>
      <c r="I40" s="706"/>
      <c r="J40" s="706"/>
      <c r="K40" s="706"/>
      <c r="L40" s="699" t="s">
        <v>306</v>
      </c>
      <c r="M40" s="696"/>
      <c r="N40" s="693" t="s">
        <v>370</v>
      </c>
      <c r="O40" s="684" t="s">
        <v>371</v>
      </c>
      <c r="P40" s="707"/>
      <c r="Q40" s="707"/>
      <c r="R40" s="707"/>
      <c r="S40" s="707"/>
      <c r="T40" s="685"/>
      <c r="U40" s="684" t="s">
        <v>307</v>
      </c>
      <c r="V40" s="685"/>
      <c r="W40" s="690" t="s">
        <v>372</v>
      </c>
      <c r="X40" s="684" t="s">
        <v>371</v>
      </c>
      <c r="Y40" s="685"/>
      <c r="Z40" s="684" t="s">
        <v>307</v>
      </c>
      <c r="AA40" s="685"/>
      <c r="AB40" s="690" t="s">
        <v>372</v>
      </c>
      <c r="AC40" s="682"/>
      <c r="AD40" s="682"/>
      <c r="AE40" s="694"/>
      <c r="AF40" s="683"/>
      <c r="AG40" s="495"/>
      <c r="AH40" s="495"/>
      <c r="AI40" s="495"/>
    </row>
    <row r="41" spans="2:37" ht="50.25" customHeight="1" x14ac:dyDescent="0.25">
      <c r="B41" s="682"/>
      <c r="C41" s="683"/>
      <c r="D41" s="683"/>
      <c r="E41" s="683"/>
      <c r="F41" s="683"/>
      <c r="G41" s="693" t="s">
        <v>373</v>
      </c>
      <c r="H41" s="696" t="s">
        <v>374</v>
      </c>
      <c r="I41" s="693" t="s">
        <v>375</v>
      </c>
      <c r="J41" s="693" t="s">
        <v>276</v>
      </c>
      <c r="K41" s="693" t="s">
        <v>169</v>
      </c>
      <c r="L41" s="699" t="s">
        <v>170</v>
      </c>
      <c r="M41" s="693" t="s">
        <v>171</v>
      </c>
      <c r="N41" s="694"/>
      <c r="O41" s="684" t="s">
        <v>172</v>
      </c>
      <c r="P41" s="685"/>
      <c r="Q41" s="684" t="s">
        <v>281</v>
      </c>
      <c r="R41" s="685"/>
      <c r="S41" s="684" t="s">
        <v>435</v>
      </c>
      <c r="T41" s="685"/>
      <c r="U41" s="684" t="s">
        <v>435</v>
      </c>
      <c r="V41" s="685"/>
      <c r="W41" s="691"/>
      <c r="X41" s="682" t="s">
        <v>282</v>
      </c>
      <c r="Y41" s="682" t="s">
        <v>283</v>
      </c>
      <c r="Z41" s="682" t="s">
        <v>282</v>
      </c>
      <c r="AA41" s="682" t="s">
        <v>283</v>
      </c>
      <c r="AB41" s="691"/>
      <c r="AC41" s="682"/>
      <c r="AD41" s="682"/>
      <c r="AE41" s="694"/>
      <c r="AF41" s="683"/>
      <c r="AG41" s="495"/>
      <c r="AH41" s="495"/>
      <c r="AI41" s="495"/>
    </row>
    <row r="42" spans="2:37" x14ac:dyDescent="0.25">
      <c r="B42" s="682"/>
      <c r="C42" s="683" t="s">
        <v>284</v>
      </c>
      <c r="D42" s="683" t="s">
        <v>285</v>
      </c>
      <c r="E42" s="683" t="s">
        <v>286</v>
      </c>
      <c r="F42" s="683" t="s">
        <v>187</v>
      </c>
      <c r="G42" s="694"/>
      <c r="H42" s="697"/>
      <c r="I42" s="694"/>
      <c r="J42" s="694"/>
      <c r="K42" s="694"/>
      <c r="L42" s="700"/>
      <c r="M42" s="694"/>
      <c r="N42" s="694"/>
      <c r="O42" s="682" t="s">
        <v>282</v>
      </c>
      <c r="P42" s="682" t="s">
        <v>283</v>
      </c>
      <c r="Q42" s="682" t="s">
        <v>282</v>
      </c>
      <c r="R42" s="682" t="s">
        <v>283</v>
      </c>
      <c r="S42" s="682" t="s">
        <v>282</v>
      </c>
      <c r="T42" s="682" t="s">
        <v>283</v>
      </c>
      <c r="U42" s="682" t="s">
        <v>282</v>
      </c>
      <c r="V42" s="682" t="s">
        <v>283</v>
      </c>
      <c r="W42" s="691"/>
      <c r="X42" s="682"/>
      <c r="Y42" s="682"/>
      <c r="Z42" s="682"/>
      <c r="AA42" s="682"/>
      <c r="AB42" s="691"/>
      <c r="AC42" s="682"/>
      <c r="AD42" s="682"/>
      <c r="AE42" s="694"/>
      <c r="AF42" s="683"/>
      <c r="AG42" s="495"/>
      <c r="AH42" s="495"/>
      <c r="AI42" s="495"/>
    </row>
    <row r="43" spans="2:37" ht="83.25" customHeight="1" x14ac:dyDescent="0.25">
      <c r="B43" s="682"/>
      <c r="C43" s="683"/>
      <c r="D43" s="683"/>
      <c r="E43" s="683"/>
      <c r="F43" s="683"/>
      <c r="G43" s="695"/>
      <c r="H43" s="698"/>
      <c r="I43" s="695"/>
      <c r="J43" s="695"/>
      <c r="K43" s="695"/>
      <c r="L43" s="701"/>
      <c r="M43" s="695"/>
      <c r="N43" s="695"/>
      <c r="O43" s="682"/>
      <c r="P43" s="682"/>
      <c r="Q43" s="682"/>
      <c r="R43" s="682"/>
      <c r="S43" s="682"/>
      <c r="T43" s="682"/>
      <c r="U43" s="682"/>
      <c r="V43" s="682"/>
      <c r="W43" s="692"/>
      <c r="X43" s="682"/>
      <c r="Y43" s="682"/>
      <c r="Z43" s="682"/>
      <c r="AA43" s="682"/>
      <c r="AB43" s="692"/>
      <c r="AC43" s="682"/>
      <c r="AD43" s="682"/>
      <c r="AE43" s="695"/>
      <c r="AF43" s="683"/>
      <c r="AG43" s="495"/>
      <c r="AH43" s="495"/>
      <c r="AI43" s="495"/>
    </row>
    <row r="44" spans="2:37" ht="43.5" customHeight="1" x14ac:dyDescent="0.25">
      <c r="B44" s="477" t="s">
        <v>308</v>
      </c>
      <c r="C44" s="477" t="s">
        <v>309</v>
      </c>
      <c r="D44" s="477" t="s">
        <v>310</v>
      </c>
      <c r="E44" s="477" t="s">
        <v>311</v>
      </c>
      <c r="F44" s="477" t="s">
        <v>312</v>
      </c>
      <c r="G44" s="477" t="s">
        <v>313</v>
      </c>
      <c r="H44" s="477" t="s">
        <v>314</v>
      </c>
      <c r="I44" s="477" t="s">
        <v>315</v>
      </c>
      <c r="J44" s="477" t="s">
        <v>316</v>
      </c>
      <c r="K44" s="477" t="s">
        <v>317</v>
      </c>
      <c r="L44" s="477" t="s">
        <v>318</v>
      </c>
      <c r="M44" s="477" t="s">
        <v>319</v>
      </c>
      <c r="N44" s="477" t="s">
        <v>320</v>
      </c>
      <c r="O44" s="477" t="s">
        <v>321</v>
      </c>
      <c r="P44" s="477" t="s">
        <v>322</v>
      </c>
      <c r="Q44" s="477" t="s">
        <v>323</v>
      </c>
      <c r="R44" s="477" t="s">
        <v>324</v>
      </c>
      <c r="S44" s="477" t="s">
        <v>325</v>
      </c>
      <c r="T44" s="477" t="s">
        <v>326</v>
      </c>
      <c r="U44" s="477" t="s">
        <v>327</v>
      </c>
      <c r="V44" s="477" t="s">
        <v>328</v>
      </c>
      <c r="W44" s="477" t="s">
        <v>329</v>
      </c>
      <c r="X44" s="477" t="s">
        <v>330</v>
      </c>
      <c r="Y44" s="477" t="s">
        <v>331</v>
      </c>
      <c r="Z44" s="477" t="s">
        <v>332</v>
      </c>
      <c r="AA44" s="477" t="s">
        <v>333</v>
      </c>
      <c r="AB44" s="477" t="s">
        <v>334</v>
      </c>
      <c r="AC44" s="477" t="s">
        <v>335</v>
      </c>
      <c r="AD44" s="477" t="s">
        <v>336</v>
      </c>
      <c r="AE44" s="477" t="s">
        <v>337</v>
      </c>
      <c r="AF44" s="477" t="s">
        <v>338</v>
      </c>
      <c r="AG44" s="468"/>
      <c r="AH44" s="468"/>
      <c r="AI44" s="468"/>
    </row>
    <row r="45" spans="2:37" ht="43.5" customHeight="1" x14ac:dyDescent="0.25">
      <c r="B45" s="477">
        <f>+SUM(E25:E26)</f>
        <v>0</v>
      </c>
      <c r="C45" s="486">
        <f>+SUM(F25:F26)</f>
        <v>16184000</v>
      </c>
      <c r="D45" s="486">
        <f>+SUM(G25:G26)</f>
        <v>0</v>
      </c>
      <c r="E45" s="486">
        <f t="shared" ref="E45:X45" si="0">+SUM(H25:H26)</f>
        <v>0</v>
      </c>
      <c r="F45" s="486">
        <f t="shared" si="0"/>
        <v>0</v>
      </c>
      <c r="G45" s="486">
        <f t="shared" si="0"/>
        <v>0</v>
      </c>
      <c r="H45" s="486">
        <f t="shared" si="0"/>
        <v>0</v>
      </c>
      <c r="I45" s="486">
        <f t="shared" si="0"/>
        <v>0</v>
      </c>
      <c r="J45" s="486">
        <f t="shared" si="0"/>
        <v>0</v>
      </c>
      <c r="K45" s="486">
        <f t="shared" si="0"/>
        <v>0</v>
      </c>
      <c r="L45" s="486">
        <f t="shared" si="0"/>
        <v>0</v>
      </c>
      <c r="M45" s="486">
        <f t="shared" si="0"/>
        <v>0</v>
      </c>
      <c r="N45" s="486">
        <f t="shared" si="0"/>
        <v>0</v>
      </c>
      <c r="O45" s="486">
        <f t="shared" si="0"/>
        <v>0</v>
      </c>
      <c r="P45" s="486">
        <f t="shared" si="0"/>
        <v>0</v>
      </c>
      <c r="Q45" s="486">
        <f>+SUM(T25:T26)</f>
        <v>1018619</v>
      </c>
      <c r="R45" s="486">
        <f>+SUM(U25:U26)</f>
        <v>1073608</v>
      </c>
      <c r="S45" s="486">
        <f t="shared" si="0"/>
        <v>0</v>
      </c>
      <c r="T45" s="486">
        <f t="shared" si="0"/>
        <v>0</v>
      </c>
      <c r="U45" s="486">
        <f t="shared" si="0"/>
        <v>0</v>
      </c>
      <c r="V45" s="486">
        <f t="shared" si="0"/>
        <v>0</v>
      </c>
      <c r="W45" s="486">
        <f t="shared" si="0"/>
        <v>2646062</v>
      </c>
      <c r="X45" s="486">
        <f t="shared" si="0"/>
        <v>0</v>
      </c>
      <c r="Y45" s="486">
        <f t="shared" ref="Y45" si="1">+SUM(AB25:AB26)</f>
        <v>0</v>
      </c>
      <c r="Z45" s="486">
        <f t="shared" ref="Z45" si="2">+SUM(AC25:AC26)</f>
        <v>0</v>
      </c>
      <c r="AA45" s="486">
        <f t="shared" ref="AA45" si="3">+SUM(AD25:AD26)</f>
        <v>0</v>
      </c>
      <c r="AB45" s="486">
        <f t="shared" ref="AB45" si="4">+SUM(AE25:AE26)</f>
        <v>0</v>
      </c>
      <c r="AC45" s="486">
        <f t="shared" ref="AC45" si="5">+SUM(AF25:AF26)</f>
        <v>0</v>
      </c>
      <c r="AD45" s="486">
        <f t="shared" ref="AD45" si="6">+SUM(AG25:AG26)</f>
        <v>0</v>
      </c>
      <c r="AE45" s="486">
        <f t="shared" ref="AE45" si="7">+SUM(AH25:AH26)</f>
        <v>3</v>
      </c>
      <c r="AF45" s="486">
        <f t="shared" ref="AF45" si="8">+SUM(AI25:AI26)</f>
        <v>0</v>
      </c>
      <c r="AG45" s="468"/>
      <c r="AH45" s="468"/>
      <c r="AI45" s="468"/>
    </row>
    <row r="46" spans="2:37" x14ac:dyDescent="0.25">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c r="AD46" s="468"/>
      <c r="AE46" s="468"/>
      <c r="AF46" s="468"/>
      <c r="AG46" s="468"/>
      <c r="AH46" s="468"/>
      <c r="AI46" s="468"/>
    </row>
    <row r="47" spans="2:37" x14ac:dyDescent="0.25">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68"/>
      <c r="Z47" s="468"/>
      <c r="AA47" s="468"/>
      <c r="AB47" s="468"/>
      <c r="AC47" s="468"/>
      <c r="AD47" s="468"/>
      <c r="AE47" s="468"/>
      <c r="AF47" s="468"/>
      <c r="AG47" s="468"/>
      <c r="AH47" s="468"/>
      <c r="AI47" s="468"/>
    </row>
    <row r="48" spans="2:37" x14ac:dyDescent="0.25">
      <c r="B48" s="673" t="s">
        <v>620</v>
      </c>
      <c r="C48" s="673"/>
      <c r="D48" s="673"/>
      <c r="E48" s="673"/>
      <c r="F48" s="673"/>
      <c r="G48" s="673"/>
      <c r="H48" s="673"/>
      <c r="I48" s="673"/>
      <c r="J48" s="673"/>
      <c r="K48" s="673"/>
      <c r="L48" s="673"/>
      <c r="M48" s="673"/>
      <c r="N48" s="673"/>
      <c r="O48" s="673"/>
      <c r="P48" s="673"/>
      <c r="Q48" s="673"/>
      <c r="R48" s="673"/>
      <c r="S48" s="673"/>
      <c r="T48" s="673"/>
      <c r="U48" s="673"/>
      <c r="V48" s="673"/>
      <c r="W48" s="468"/>
      <c r="X48" s="468"/>
      <c r="Y48" s="468"/>
      <c r="Z48" s="468"/>
      <c r="AA48" s="468"/>
      <c r="AB48" s="468"/>
      <c r="AC48" s="468"/>
      <c r="AD48" s="468"/>
      <c r="AE48" s="468"/>
      <c r="AF48" s="468"/>
      <c r="AG48" s="468"/>
      <c r="AH48" s="468"/>
      <c r="AI48" s="468"/>
    </row>
    <row r="49" spans="2:35" x14ac:dyDescent="0.25">
      <c r="B49" s="468"/>
      <c r="C49" s="468"/>
      <c r="D49" s="468"/>
      <c r="E49" s="468"/>
      <c r="F49" s="468"/>
      <c r="G49" s="468"/>
      <c r="H49" s="468"/>
      <c r="I49" s="468"/>
      <c r="J49" s="468"/>
      <c r="K49" s="468"/>
      <c r="L49" s="468"/>
      <c r="M49" s="468"/>
      <c r="N49" s="468"/>
      <c r="O49" s="468"/>
      <c r="P49" s="468"/>
      <c r="Q49" s="468"/>
      <c r="R49" s="468"/>
      <c r="S49" s="468"/>
      <c r="T49" s="468"/>
      <c r="U49" s="468"/>
      <c r="V49" s="476"/>
      <c r="W49" s="476"/>
      <c r="X49" s="476"/>
      <c r="Y49" s="476"/>
      <c r="Z49" s="476"/>
      <c r="AA49" s="476"/>
      <c r="AB49" s="476"/>
      <c r="AC49" s="476"/>
      <c r="AD49" s="476"/>
      <c r="AE49" s="476"/>
      <c r="AF49" s="476"/>
      <c r="AG49" s="468"/>
      <c r="AH49" s="468"/>
      <c r="AI49" s="468"/>
    </row>
    <row r="50" spans="2:35" x14ac:dyDescent="0.25">
      <c r="B50" s="468"/>
      <c r="C50" s="468"/>
      <c r="D50" s="468"/>
      <c r="E50" s="468"/>
      <c r="F50" s="468"/>
      <c r="G50" s="468"/>
      <c r="H50" s="468"/>
      <c r="I50" s="468"/>
      <c r="J50" s="468"/>
      <c r="K50" s="468"/>
      <c r="L50" s="468"/>
      <c r="M50" s="468"/>
      <c r="N50" s="468"/>
      <c r="O50" s="468"/>
      <c r="P50" s="468"/>
      <c r="Q50" s="476"/>
      <c r="R50" s="468"/>
      <c r="S50" s="468"/>
      <c r="T50" s="468"/>
      <c r="U50" s="468"/>
      <c r="V50" s="468"/>
      <c r="W50" s="468"/>
      <c r="X50" s="468"/>
      <c r="Y50" s="468"/>
      <c r="Z50" s="468"/>
      <c r="AA50" s="468"/>
      <c r="AB50" s="468"/>
      <c r="AC50" s="468"/>
      <c r="AD50" s="468"/>
      <c r="AE50" s="468"/>
      <c r="AF50" s="468"/>
      <c r="AG50" s="468"/>
      <c r="AH50" s="468"/>
      <c r="AI50" s="468"/>
    </row>
    <row r="51" spans="2:35" x14ac:dyDescent="0.25">
      <c r="B51" s="674" t="s">
        <v>241</v>
      </c>
      <c r="C51" s="675"/>
      <c r="D51" s="487"/>
      <c r="E51" s="468"/>
      <c r="F51" s="676" t="s">
        <v>242</v>
      </c>
      <c r="G51" s="676"/>
      <c r="H51" s="676"/>
      <c r="I51" s="676"/>
      <c r="J51" s="487"/>
      <c r="K51" s="487"/>
      <c r="L51" s="487"/>
      <c r="M51" s="487"/>
      <c r="N51" s="487"/>
      <c r="O51" s="468"/>
      <c r="P51" s="468"/>
      <c r="Q51" s="468"/>
      <c r="R51" s="468"/>
      <c r="S51" s="468"/>
      <c r="T51" s="468"/>
      <c r="U51" s="468"/>
      <c r="V51" s="468"/>
      <c r="W51" s="468"/>
      <c r="X51" s="468"/>
      <c r="Y51" s="468"/>
      <c r="Z51" s="468"/>
      <c r="AA51" s="468"/>
      <c r="AB51" s="468"/>
      <c r="AC51" s="468"/>
      <c r="AD51" s="468"/>
      <c r="AE51" s="468"/>
      <c r="AF51" s="468"/>
      <c r="AG51" s="468"/>
      <c r="AH51" s="468"/>
      <c r="AI51" s="468"/>
    </row>
    <row r="52" spans="2:35" x14ac:dyDescent="0.25">
      <c r="B52" s="488"/>
      <c r="C52" s="489"/>
      <c r="D52" s="490"/>
      <c r="E52" s="468"/>
      <c r="F52" s="488"/>
      <c r="G52" s="491"/>
      <c r="H52" s="491"/>
      <c r="I52" s="489"/>
      <c r="J52" s="490"/>
      <c r="K52" s="490"/>
      <c r="L52" s="490"/>
      <c r="M52" s="490"/>
      <c r="N52" s="490"/>
      <c r="O52" s="468"/>
      <c r="P52" s="468"/>
      <c r="Q52" s="468"/>
      <c r="R52" s="468"/>
      <c r="S52" s="468"/>
      <c r="T52" s="468"/>
      <c r="U52" s="468"/>
      <c r="V52" s="468"/>
      <c r="W52" s="468"/>
      <c r="X52" s="468"/>
      <c r="Y52" s="468"/>
      <c r="Z52" s="468"/>
      <c r="AA52" s="468"/>
      <c r="AB52" s="468"/>
      <c r="AC52" s="468"/>
      <c r="AD52" s="468"/>
      <c r="AE52" s="468"/>
      <c r="AF52" s="468"/>
      <c r="AG52" s="468"/>
      <c r="AH52" s="468"/>
      <c r="AI52" s="468"/>
    </row>
    <row r="53" spans="2:35" x14ac:dyDescent="0.25">
      <c r="B53" s="468"/>
      <c r="C53" s="476"/>
      <c r="D53" s="476"/>
      <c r="E53" s="468"/>
      <c r="F53" s="468"/>
      <c r="G53" s="468"/>
      <c r="H53" s="468"/>
      <c r="I53" s="468"/>
      <c r="J53" s="468"/>
      <c r="K53" s="468"/>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row>
    <row r="54" spans="2:35" x14ac:dyDescent="0.25">
      <c r="B54" s="468"/>
      <c r="C54" s="468"/>
      <c r="D54" s="468"/>
      <c r="E54" s="468"/>
      <c r="F54" s="468"/>
      <c r="G54" s="468"/>
      <c r="H54" s="468"/>
      <c r="I54" s="468"/>
      <c r="J54" s="468"/>
      <c r="K54" s="468"/>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row>
    <row r="55" spans="2:35" x14ac:dyDescent="0.25">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row>
    <row r="56" spans="2:35" x14ac:dyDescent="0.25">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row>
    <row r="57" spans="2:35" x14ac:dyDescent="0.25">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row>
    <row r="58" spans="2:35" x14ac:dyDescent="0.25">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row>
  </sheetData>
  <mergeCells count="109">
    <mergeCell ref="D2:M3"/>
    <mergeCell ref="D9:F9"/>
    <mergeCell ref="D11:F11"/>
    <mergeCell ref="D13:F13"/>
    <mergeCell ref="D14:F14"/>
    <mergeCell ref="B18:B23"/>
    <mergeCell ref="C18:C23"/>
    <mergeCell ref="D18:D23"/>
    <mergeCell ref="E18:E23"/>
    <mergeCell ref="F18:Q18"/>
    <mergeCell ref="R18:AF18"/>
    <mergeCell ref="AG18:AG23"/>
    <mergeCell ref="AH18:AH23"/>
    <mergeCell ref="F19:I21"/>
    <mergeCell ref="J19:N19"/>
    <mergeCell ref="R19:Z19"/>
    <mergeCell ref="AA19:AE19"/>
    <mergeCell ref="AF19:AF23"/>
    <mergeCell ref="J20:N20"/>
    <mergeCell ref="O20:P20"/>
    <mergeCell ref="B30:B34"/>
    <mergeCell ref="C30:C34"/>
    <mergeCell ref="AC21:AC23"/>
    <mergeCell ref="AD21:AD23"/>
    <mergeCell ref="F22:F23"/>
    <mergeCell ref="G22:G23"/>
    <mergeCell ref="H22:H23"/>
    <mergeCell ref="I22:I23"/>
    <mergeCell ref="R22:R23"/>
    <mergeCell ref="S22:S23"/>
    <mergeCell ref="T22:T23"/>
    <mergeCell ref="U22:U23"/>
    <mergeCell ref="J21:J23"/>
    <mergeCell ref="K21:K23"/>
    <mergeCell ref="L21:L23"/>
    <mergeCell ref="M21:M23"/>
    <mergeCell ref="N21:N23"/>
    <mergeCell ref="O21:O23"/>
    <mergeCell ref="P21:P23"/>
    <mergeCell ref="R21:S21"/>
    <mergeCell ref="T21:U21"/>
    <mergeCell ref="Q20:Q23"/>
    <mergeCell ref="R20:W20"/>
    <mergeCell ref="X20:Y20"/>
    <mergeCell ref="AE38:AE43"/>
    <mergeCell ref="AF38:AF43"/>
    <mergeCell ref="C39:F41"/>
    <mergeCell ref="G39:K39"/>
    <mergeCell ref="O39:W39"/>
    <mergeCell ref="V22:V23"/>
    <mergeCell ref="W22:W23"/>
    <mergeCell ref="X22:X23"/>
    <mergeCell ref="Y22:Y23"/>
    <mergeCell ref="AE20:AE23"/>
    <mergeCell ref="Z20:Z23"/>
    <mergeCell ref="AA20:AB20"/>
    <mergeCell ref="AC20:AD20"/>
    <mergeCell ref="V21:W21"/>
    <mergeCell ref="X21:Y21"/>
    <mergeCell ref="AA21:AA23"/>
    <mergeCell ref="AB21:AB23"/>
    <mergeCell ref="X39:AB39"/>
    <mergeCell ref="AC39:AC43"/>
    <mergeCell ref="G40:K40"/>
    <mergeCell ref="L40:M40"/>
    <mergeCell ref="N40:N43"/>
    <mergeCell ref="O40:T40"/>
    <mergeCell ref="U40:V40"/>
    <mergeCell ref="W40:W43"/>
    <mergeCell ref="X40:Y40"/>
    <mergeCell ref="Z40:AA40"/>
    <mergeCell ref="X41:X43"/>
    <mergeCell ref="Y41:Y43"/>
    <mergeCell ref="Z41:Z43"/>
    <mergeCell ref="AA41:AA43"/>
    <mergeCell ref="AB40:AB43"/>
    <mergeCell ref="G41:G43"/>
    <mergeCell ref="H41:H43"/>
    <mergeCell ref="I41:I43"/>
    <mergeCell ref="J41:J43"/>
    <mergeCell ref="K41:K43"/>
    <mergeCell ref="L41:L43"/>
    <mergeCell ref="M41:M43"/>
    <mergeCell ref="O41:P41"/>
    <mergeCell ref="Q41:R41"/>
    <mergeCell ref="B48:V48"/>
    <mergeCell ref="B51:C51"/>
    <mergeCell ref="F51:I51"/>
    <mergeCell ref="B10:C10"/>
    <mergeCell ref="D10:F10"/>
    <mergeCell ref="Q42:Q43"/>
    <mergeCell ref="R42:R43"/>
    <mergeCell ref="S42:S43"/>
    <mergeCell ref="T42:T43"/>
    <mergeCell ref="U42:U43"/>
    <mergeCell ref="V42:V43"/>
    <mergeCell ref="C42:C43"/>
    <mergeCell ref="D42:D43"/>
    <mergeCell ref="E42:E43"/>
    <mergeCell ref="F42:F43"/>
    <mergeCell ref="O42:O43"/>
    <mergeCell ref="P42:P43"/>
    <mergeCell ref="S41:T41"/>
    <mergeCell ref="U41:V41"/>
    <mergeCell ref="B37:AF37"/>
    <mergeCell ref="B38:B43"/>
    <mergeCell ref="C38:N38"/>
    <mergeCell ref="O38:AC38"/>
    <mergeCell ref="AD38:AD43"/>
  </mergeCells>
  <phoneticPr fontId="33" type="noConversion"/>
  <pageMargins left="0.23622047244094491" right="0.23622047244094491" top="0.55118110236220474" bottom="0.39370078740157483" header="0.31496062992125984" footer="0.31496062992125984"/>
  <colBreaks count="2" manualBreakCount="2">
    <brk id="14" min="1" max="35" man="1"/>
    <brk id="28" min="1" max="35" man="1"/>
  </colBreaks>
  <drawing r:id="rId1"/>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GO38"/>
  <sheetViews>
    <sheetView showGridLines="0" tabSelected="1" topLeftCell="GE1" zoomScale="80" zoomScaleNormal="80" zoomScalePageLayoutView="80" workbookViewId="0">
      <selection activeCell="GO13" sqref="GO13"/>
    </sheetView>
  </sheetViews>
  <sheetFormatPr baseColWidth="10" defaultColWidth="11.42578125" defaultRowHeight="15" x14ac:dyDescent="0.25"/>
  <cols>
    <col min="1" max="1" width="3.140625" style="124" customWidth="1"/>
    <col min="2" max="2" width="13.42578125" style="124" customWidth="1"/>
    <col min="3" max="3" width="16.42578125" style="124" customWidth="1"/>
    <col min="4" max="4" width="15.42578125" style="124" customWidth="1"/>
    <col min="5" max="5" width="17.42578125" style="124" customWidth="1"/>
    <col min="6" max="6" width="16.85546875" style="124" customWidth="1"/>
    <col min="7" max="7" width="16.28515625" style="124" customWidth="1"/>
    <col min="8" max="8" width="16.85546875" style="124" customWidth="1"/>
    <col min="9" max="12" width="17.42578125" style="124" customWidth="1"/>
    <col min="13" max="13" width="18.140625" style="124" customWidth="1"/>
    <col min="14" max="14" width="17.42578125" style="124" customWidth="1"/>
    <col min="15" max="15" width="21.85546875" style="124" customWidth="1"/>
    <col min="16" max="18" width="23.42578125" style="124" customWidth="1"/>
    <col min="19" max="19" width="22.42578125" style="124" customWidth="1"/>
    <col min="20" max="20" width="17.42578125" style="124" customWidth="1"/>
    <col min="21" max="21" width="15.42578125" style="124" customWidth="1"/>
    <col min="22" max="22" width="17.140625" style="124" customWidth="1"/>
    <col min="23" max="23" width="15.85546875" style="124" customWidth="1"/>
    <col min="24" max="24" width="18.42578125" style="124" customWidth="1"/>
    <col min="25" max="30" width="15.42578125" style="124" customWidth="1"/>
    <col min="31" max="31" width="17.140625" style="124" customWidth="1"/>
    <col min="32" max="33" width="20" style="124" customWidth="1"/>
    <col min="34" max="35" width="17.140625" style="124" customWidth="1"/>
    <col min="36" max="37" width="15.42578125" style="124" customWidth="1"/>
    <col min="38" max="38" width="17.140625" style="124" customWidth="1"/>
    <col min="39" max="39" width="15.42578125" style="124" customWidth="1"/>
    <col min="40" max="16384" width="11.42578125" style="124"/>
  </cols>
  <sheetData>
    <row r="2" spans="2:197" x14ac:dyDescent="0.25">
      <c r="B2" s="173" t="s">
        <v>621</v>
      </c>
      <c r="C2" s="173"/>
      <c r="D2" s="146" t="str">
        <f>+'F1948'!D10:F10</f>
        <v xml:space="preserve">La sociedad  EC  &amp; GET Ltda. </v>
      </c>
      <c r="E2" s="173"/>
      <c r="F2" s="173"/>
      <c r="G2" s="173"/>
      <c r="H2" s="173"/>
      <c r="I2" s="173"/>
      <c r="J2" s="173"/>
      <c r="K2" s="173"/>
      <c r="L2" s="173"/>
      <c r="M2" s="173"/>
      <c r="N2" s="173"/>
      <c r="O2" s="173"/>
      <c r="P2" s="173"/>
      <c r="Q2" s="173"/>
      <c r="R2" s="173"/>
      <c r="S2" s="173"/>
      <c r="T2" s="173"/>
      <c r="U2" s="173"/>
      <c r="V2" s="173"/>
      <c r="W2" s="173" t="s">
        <v>415</v>
      </c>
      <c r="X2" s="173"/>
      <c r="Y2" s="173"/>
      <c r="Z2" s="173"/>
      <c r="AA2" s="173"/>
      <c r="AB2" s="173"/>
      <c r="AC2" s="173"/>
      <c r="AD2" s="173"/>
      <c r="AE2" s="173"/>
      <c r="AF2" s="173"/>
      <c r="AG2" s="173"/>
      <c r="AH2" s="173"/>
      <c r="AI2" s="173"/>
      <c r="AJ2" s="173"/>
      <c r="AK2" s="173"/>
      <c r="AL2" s="173"/>
      <c r="AM2" s="173"/>
      <c r="AN2" s="173"/>
    </row>
    <row r="3" spans="2:197" x14ac:dyDescent="0.25">
      <c r="B3" s="173" t="s">
        <v>139</v>
      </c>
      <c r="C3" s="173"/>
      <c r="D3" s="146" t="str">
        <f>+'F1948'!B10</f>
        <v>20-5</v>
      </c>
      <c r="E3" s="173"/>
      <c r="F3" s="173"/>
      <c r="G3" s="173"/>
      <c r="H3" s="173"/>
      <c r="I3" s="173"/>
      <c r="J3" s="173"/>
      <c r="K3" s="173"/>
      <c r="L3" s="173"/>
      <c r="M3" s="173"/>
      <c r="N3" s="173"/>
      <c r="O3" s="173"/>
      <c r="P3" s="173"/>
      <c r="Q3" s="173"/>
      <c r="R3" s="173"/>
      <c r="S3" s="173"/>
      <c r="T3" s="173"/>
      <c r="U3" s="173"/>
      <c r="V3" s="173"/>
      <c r="W3" s="173" t="s">
        <v>415</v>
      </c>
      <c r="X3" s="173"/>
      <c r="Y3" s="173"/>
      <c r="Z3" s="173"/>
      <c r="AA3" s="173"/>
      <c r="AB3" s="173"/>
      <c r="AC3" s="173"/>
      <c r="AD3" s="173"/>
      <c r="AE3" s="173"/>
      <c r="AF3" s="150" t="s">
        <v>140</v>
      </c>
      <c r="AG3" s="150"/>
      <c r="AH3" s="498"/>
      <c r="AI3" s="499"/>
      <c r="AJ3" s="173"/>
      <c r="AK3" s="173"/>
      <c r="AL3" s="173"/>
      <c r="AM3" s="173"/>
      <c r="AN3" s="173"/>
    </row>
    <row r="4" spans="2:197" x14ac:dyDescent="0.25">
      <c r="B4" s="173" t="s">
        <v>141</v>
      </c>
      <c r="C4" s="173"/>
      <c r="D4" s="173" t="s">
        <v>232</v>
      </c>
      <c r="E4" s="173"/>
      <c r="F4" s="173"/>
      <c r="G4" s="173"/>
      <c r="H4" s="173"/>
      <c r="I4" s="173"/>
      <c r="J4" s="173"/>
      <c r="K4" s="173"/>
      <c r="L4" s="173"/>
      <c r="M4" s="173"/>
      <c r="N4" s="173"/>
      <c r="O4" s="173"/>
      <c r="P4" s="173"/>
      <c r="Q4" s="173"/>
      <c r="R4" s="173"/>
      <c r="S4" s="173"/>
      <c r="T4" s="173"/>
      <c r="U4" s="173"/>
      <c r="V4" s="173"/>
      <c r="W4" s="173" t="s">
        <v>415</v>
      </c>
      <c r="X4" s="173"/>
      <c r="Y4" s="173"/>
      <c r="Z4" s="173"/>
      <c r="AA4" s="173"/>
      <c r="AB4" s="173"/>
      <c r="AC4" s="173"/>
      <c r="AD4" s="173"/>
      <c r="AE4" s="173"/>
      <c r="AF4" s="150" t="s">
        <v>142</v>
      </c>
      <c r="AG4" s="150"/>
      <c r="AH4" s="500"/>
      <c r="AI4" s="499"/>
      <c r="AJ4" s="173"/>
      <c r="AK4" s="173"/>
      <c r="AL4" s="173"/>
      <c r="AM4" s="173"/>
      <c r="AN4" s="173"/>
    </row>
    <row r="5" spans="2:197" x14ac:dyDescent="0.25">
      <c r="B5" s="173" t="s">
        <v>143</v>
      </c>
      <c r="C5" s="173"/>
      <c r="D5" s="173" t="s">
        <v>233</v>
      </c>
      <c r="E5" s="173"/>
      <c r="F5" s="173"/>
      <c r="G5" s="173"/>
      <c r="H5" s="173"/>
      <c r="I5" s="173"/>
      <c r="J5" s="173"/>
      <c r="K5" s="173"/>
      <c r="L5" s="173"/>
      <c r="M5" s="173"/>
      <c r="N5" s="173"/>
      <c r="O5" s="173"/>
      <c r="P5" s="173"/>
      <c r="Q5" s="173"/>
      <c r="R5" s="173"/>
      <c r="S5" s="173"/>
      <c r="T5" s="173"/>
      <c r="U5" s="173"/>
      <c r="V5" s="173"/>
      <c r="W5" s="173" t="s">
        <v>415</v>
      </c>
      <c r="X5" s="173"/>
      <c r="Y5" s="173"/>
      <c r="Z5" s="173"/>
      <c r="AA5" s="173"/>
      <c r="AB5" s="173"/>
      <c r="AC5" s="173"/>
      <c r="AD5" s="173"/>
      <c r="AE5" s="173"/>
      <c r="AF5" s="173"/>
      <c r="AG5" s="173"/>
      <c r="AH5" s="173"/>
      <c r="AI5" s="173"/>
      <c r="AJ5" s="173"/>
      <c r="AK5" s="173"/>
      <c r="AL5" s="173"/>
      <c r="AM5" s="173"/>
      <c r="AN5" s="173"/>
    </row>
    <row r="6" spans="2:197" x14ac:dyDescent="0.25">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row>
    <row r="7" spans="2:197" x14ac:dyDescent="0.25">
      <c r="B7" s="264"/>
      <c r="C7" s="264"/>
      <c r="D7" s="264"/>
      <c r="E7" s="264"/>
      <c r="F7" s="264"/>
      <c r="G7" s="264"/>
      <c r="H7" s="264"/>
      <c r="I7" s="264"/>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row>
    <row r="8" spans="2:197" x14ac:dyDescent="0.25">
      <c r="B8" s="501" t="s">
        <v>2</v>
      </c>
      <c r="C8" s="501"/>
      <c r="D8" s="501" t="s">
        <v>622</v>
      </c>
      <c r="E8" s="501"/>
      <c r="F8" s="501"/>
      <c r="G8" s="501"/>
      <c r="H8" s="501"/>
      <c r="I8" s="501"/>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73"/>
      <c r="AK8" s="173"/>
      <c r="AL8" s="173"/>
      <c r="AM8" s="173"/>
      <c r="AN8" s="173"/>
    </row>
    <row r="9" spans="2:197" x14ac:dyDescent="0.25">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row>
    <row r="10" spans="2:197" ht="37.35" customHeight="1" x14ac:dyDescent="0.25">
      <c r="B10" s="746" t="s">
        <v>415</v>
      </c>
      <c r="C10" s="746"/>
      <c r="D10" s="746"/>
      <c r="E10" s="746"/>
      <c r="F10" s="746"/>
      <c r="G10" s="746"/>
      <c r="H10" s="746"/>
      <c r="I10" s="746"/>
      <c r="J10" s="746"/>
      <c r="K10" s="746"/>
      <c r="L10" s="746"/>
      <c r="M10" s="746"/>
      <c r="N10" s="746"/>
      <c r="O10" s="746"/>
      <c r="P10" s="746"/>
      <c r="Q10" s="746"/>
      <c r="R10" s="746"/>
      <c r="S10" s="502"/>
      <c r="T10" s="502"/>
      <c r="U10" s="502"/>
      <c r="V10" s="173"/>
      <c r="W10" s="173"/>
      <c r="X10" s="173"/>
      <c r="Y10" s="173"/>
      <c r="Z10" s="173"/>
      <c r="AA10" s="173"/>
      <c r="AB10" s="173"/>
      <c r="AC10" s="173"/>
      <c r="AD10" s="173"/>
      <c r="AE10" s="173"/>
      <c r="AF10" s="173"/>
      <c r="AG10" s="173"/>
      <c r="AH10" s="173"/>
      <c r="AI10" s="173"/>
      <c r="AJ10" s="173"/>
      <c r="AK10" s="173"/>
      <c r="AL10" s="173"/>
      <c r="AM10" s="173"/>
      <c r="AN10" s="173"/>
    </row>
    <row r="11" spans="2:197" ht="7.35" customHeight="1" x14ac:dyDescent="0.25">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row>
    <row r="12" spans="2:197" s="125" customFormat="1" ht="15" customHeight="1" x14ac:dyDescent="0.25">
      <c r="B12" s="731" t="s">
        <v>144</v>
      </c>
      <c r="C12" s="731" t="s">
        <v>246</v>
      </c>
      <c r="D12" s="731" t="s">
        <v>247</v>
      </c>
      <c r="E12" s="731" t="s">
        <v>248</v>
      </c>
      <c r="F12" s="731" t="s">
        <v>249</v>
      </c>
      <c r="G12" s="731" t="s">
        <v>250</v>
      </c>
      <c r="H12" s="729" t="s">
        <v>251</v>
      </c>
      <c r="I12" s="730"/>
      <c r="J12" s="730"/>
      <c r="K12" s="730"/>
      <c r="L12" s="730"/>
      <c r="M12" s="730"/>
      <c r="N12" s="747"/>
      <c r="O12" s="747"/>
      <c r="P12" s="747"/>
      <c r="Q12" s="520"/>
      <c r="R12" s="520"/>
      <c r="S12" s="520"/>
      <c r="T12" s="520"/>
      <c r="U12" s="729" t="s">
        <v>258</v>
      </c>
      <c r="V12" s="730"/>
      <c r="W12" s="730"/>
      <c r="X12" s="730"/>
      <c r="Y12" s="730"/>
      <c r="Z12" s="730"/>
      <c r="AA12" s="730"/>
      <c r="AB12" s="730"/>
      <c r="AC12" s="730"/>
      <c r="AD12" s="730"/>
      <c r="AE12" s="730"/>
      <c r="AF12" s="730"/>
      <c r="AG12" s="730"/>
      <c r="AH12" s="730"/>
      <c r="AI12" s="520"/>
      <c r="AJ12" s="731" t="s">
        <v>252</v>
      </c>
      <c r="AK12" s="731" t="s">
        <v>260</v>
      </c>
      <c r="AL12" s="731" t="s">
        <v>623</v>
      </c>
      <c r="AM12" s="503"/>
      <c r="AN12" s="503"/>
    </row>
    <row r="13" spans="2:197" s="125" customFormat="1" ht="15" customHeight="1" x14ac:dyDescent="0.25">
      <c r="B13" s="732"/>
      <c r="C13" s="732"/>
      <c r="D13" s="732"/>
      <c r="E13" s="732"/>
      <c r="F13" s="732"/>
      <c r="G13" s="732"/>
      <c r="H13" s="733" t="s">
        <v>261</v>
      </c>
      <c r="I13" s="734" t="s">
        <v>262</v>
      </c>
      <c r="J13" s="735"/>
      <c r="K13" s="735"/>
      <c r="L13" s="736"/>
      <c r="M13" s="743" t="s">
        <v>263</v>
      </c>
      <c r="N13" s="744"/>
      <c r="O13" s="744"/>
      <c r="P13" s="744"/>
      <c r="Q13" s="744"/>
      <c r="R13" s="744"/>
      <c r="S13" s="744"/>
      <c r="T13" s="745"/>
      <c r="U13" s="723" t="s">
        <v>264</v>
      </c>
      <c r="V13" s="728"/>
      <c r="W13" s="728"/>
      <c r="X13" s="728"/>
      <c r="Y13" s="728"/>
      <c r="Z13" s="728"/>
      <c r="AA13" s="728"/>
      <c r="AB13" s="728"/>
      <c r="AC13" s="724"/>
      <c r="AD13" s="723" t="s">
        <v>265</v>
      </c>
      <c r="AE13" s="728"/>
      <c r="AF13" s="728"/>
      <c r="AG13" s="728"/>
      <c r="AH13" s="724"/>
      <c r="AI13" s="725" t="s">
        <v>266</v>
      </c>
      <c r="AJ13" s="732"/>
      <c r="AK13" s="732"/>
      <c r="AL13" s="732"/>
      <c r="AM13" s="503"/>
      <c r="AN13" s="503"/>
      <c r="GO13" s="126"/>
    </row>
    <row r="14" spans="2:197" s="125" customFormat="1" ht="36.75" customHeight="1" x14ac:dyDescent="0.25">
      <c r="B14" s="732"/>
      <c r="C14" s="732"/>
      <c r="D14" s="732"/>
      <c r="E14" s="732"/>
      <c r="F14" s="732"/>
      <c r="G14" s="732"/>
      <c r="H14" s="733"/>
      <c r="I14" s="737"/>
      <c r="J14" s="738"/>
      <c r="K14" s="738"/>
      <c r="L14" s="739"/>
      <c r="M14" s="748" t="s">
        <v>294</v>
      </c>
      <c r="N14" s="749"/>
      <c r="O14" s="749"/>
      <c r="P14" s="749"/>
      <c r="Q14" s="749"/>
      <c r="R14" s="750" t="s">
        <v>267</v>
      </c>
      <c r="S14" s="751"/>
      <c r="T14" s="726" t="s">
        <v>268</v>
      </c>
      <c r="U14" s="723" t="s">
        <v>269</v>
      </c>
      <c r="V14" s="728"/>
      <c r="W14" s="728"/>
      <c r="X14" s="728"/>
      <c r="Y14" s="728"/>
      <c r="Z14" s="724"/>
      <c r="AA14" s="723" t="s">
        <v>270</v>
      </c>
      <c r="AB14" s="724"/>
      <c r="AC14" s="721" t="s">
        <v>271</v>
      </c>
      <c r="AD14" s="723" t="s">
        <v>269</v>
      </c>
      <c r="AE14" s="724"/>
      <c r="AF14" s="723" t="s">
        <v>270</v>
      </c>
      <c r="AG14" s="724"/>
      <c r="AH14" s="721" t="s">
        <v>271</v>
      </c>
      <c r="AI14" s="725"/>
      <c r="AJ14" s="732"/>
      <c r="AK14" s="732"/>
      <c r="AL14" s="732"/>
      <c r="AM14" s="503"/>
      <c r="AN14" s="503"/>
      <c r="GO14" s="126"/>
    </row>
    <row r="15" spans="2:197" s="125" customFormat="1" ht="49.35" customHeight="1" x14ac:dyDescent="0.25">
      <c r="B15" s="732"/>
      <c r="C15" s="732"/>
      <c r="D15" s="732"/>
      <c r="E15" s="732"/>
      <c r="F15" s="732"/>
      <c r="G15" s="732"/>
      <c r="H15" s="733"/>
      <c r="I15" s="737"/>
      <c r="J15" s="738"/>
      <c r="K15" s="738"/>
      <c r="L15" s="739"/>
      <c r="M15" s="726" t="s">
        <v>272</v>
      </c>
      <c r="N15" s="726" t="s">
        <v>273</v>
      </c>
      <c r="O15" s="726" t="s">
        <v>274</v>
      </c>
      <c r="P15" s="726" t="s">
        <v>275</v>
      </c>
      <c r="Q15" s="726" t="s">
        <v>160</v>
      </c>
      <c r="R15" s="726" t="s">
        <v>161</v>
      </c>
      <c r="S15" s="726" t="s">
        <v>162</v>
      </c>
      <c r="T15" s="727"/>
      <c r="U15" s="723" t="s">
        <v>163</v>
      </c>
      <c r="V15" s="724"/>
      <c r="W15" s="723" t="s">
        <v>164</v>
      </c>
      <c r="X15" s="724"/>
      <c r="Y15" s="723" t="s">
        <v>165</v>
      </c>
      <c r="Z15" s="724"/>
      <c r="AA15" s="723" t="s">
        <v>165</v>
      </c>
      <c r="AB15" s="724"/>
      <c r="AC15" s="722"/>
      <c r="AD15" s="725" t="s">
        <v>166</v>
      </c>
      <c r="AE15" s="725" t="s">
        <v>167</v>
      </c>
      <c r="AF15" s="725" t="s">
        <v>166</v>
      </c>
      <c r="AG15" s="725" t="s">
        <v>167</v>
      </c>
      <c r="AH15" s="722"/>
      <c r="AI15" s="725"/>
      <c r="AJ15" s="732"/>
      <c r="AK15" s="732"/>
      <c r="AL15" s="732"/>
      <c r="AM15" s="503"/>
      <c r="AN15" s="503"/>
      <c r="GO15" s="126"/>
    </row>
    <row r="16" spans="2:197" s="125" customFormat="1" ht="15" customHeight="1" x14ac:dyDescent="0.25">
      <c r="B16" s="732"/>
      <c r="C16" s="732"/>
      <c r="D16" s="732"/>
      <c r="E16" s="732"/>
      <c r="F16" s="732"/>
      <c r="G16" s="732"/>
      <c r="H16" s="733"/>
      <c r="I16" s="740"/>
      <c r="J16" s="741"/>
      <c r="K16" s="741"/>
      <c r="L16" s="742"/>
      <c r="M16" s="727"/>
      <c r="N16" s="727"/>
      <c r="O16" s="727"/>
      <c r="P16" s="727"/>
      <c r="Q16" s="727"/>
      <c r="R16" s="727"/>
      <c r="S16" s="727"/>
      <c r="T16" s="727"/>
      <c r="U16" s="725" t="s">
        <v>166</v>
      </c>
      <c r="V16" s="725" t="s">
        <v>167</v>
      </c>
      <c r="W16" s="725" t="s">
        <v>166</v>
      </c>
      <c r="X16" s="725" t="s">
        <v>167</v>
      </c>
      <c r="Y16" s="725" t="s">
        <v>166</v>
      </c>
      <c r="Z16" s="725" t="s">
        <v>167</v>
      </c>
      <c r="AA16" s="725" t="s">
        <v>166</v>
      </c>
      <c r="AB16" s="725" t="s">
        <v>167</v>
      </c>
      <c r="AC16" s="722"/>
      <c r="AD16" s="725"/>
      <c r="AE16" s="725"/>
      <c r="AF16" s="725"/>
      <c r="AG16" s="725"/>
      <c r="AH16" s="722"/>
      <c r="AI16" s="725"/>
      <c r="AJ16" s="732"/>
      <c r="AK16" s="732"/>
      <c r="AL16" s="732"/>
      <c r="AM16" s="503"/>
      <c r="AN16" s="503"/>
    </row>
    <row r="17" spans="2:40" ht="63.75" x14ac:dyDescent="0.25">
      <c r="B17" s="732"/>
      <c r="C17" s="732"/>
      <c r="D17" s="732"/>
      <c r="E17" s="732"/>
      <c r="F17" s="732"/>
      <c r="G17" s="732"/>
      <c r="H17" s="731"/>
      <c r="I17" s="521" t="s">
        <v>168</v>
      </c>
      <c r="J17" s="521" t="s">
        <v>87</v>
      </c>
      <c r="K17" s="521" t="s">
        <v>88</v>
      </c>
      <c r="L17" s="521" t="s">
        <v>89</v>
      </c>
      <c r="M17" s="727"/>
      <c r="N17" s="727"/>
      <c r="O17" s="727"/>
      <c r="P17" s="727"/>
      <c r="Q17" s="727"/>
      <c r="R17" s="727"/>
      <c r="S17" s="727"/>
      <c r="T17" s="727"/>
      <c r="U17" s="721"/>
      <c r="V17" s="721"/>
      <c r="W17" s="721"/>
      <c r="X17" s="721"/>
      <c r="Y17" s="721"/>
      <c r="Z17" s="721"/>
      <c r="AA17" s="721"/>
      <c r="AB17" s="721"/>
      <c r="AC17" s="722"/>
      <c r="AD17" s="721"/>
      <c r="AE17" s="721"/>
      <c r="AF17" s="721"/>
      <c r="AG17" s="721"/>
      <c r="AH17" s="722"/>
      <c r="AI17" s="721"/>
      <c r="AJ17" s="732"/>
      <c r="AK17" s="732"/>
      <c r="AL17" s="732"/>
      <c r="AM17" s="173"/>
      <c r="AN17" s="173"/>
    </row>
    <row r="18" spans="2:40" x14ac:dyDescent="0.25">
      <c r="B18" s="504" t="s">
        <v>90</v>
      </c>
      <c r="C18" s="504" t="s">
        <v>91</v>
      </c>
      <c r="D18" s="504" t="s">
        <v>92</v>
      </c>
      <c r="E18" s="505" t="s">
        <v>93</v>
      </c>
      <c r="F18" s="504" t="s">
        <v>94</v>
      </c>
      <c r="G18" s="504" t="s">
        <v>95</v>
      </c>
      <c r="H18" s="504" t="s">
        <v>96</v>
      </c>
      <c r="I18" s="506" t="s">
        <v>97</v>
      </c>
      <c r="J18" s="506" t="s">
        <v>98</v>
      </c>
      <c r="K18" s="506" t="s">
        <v>99</v>
      </c>
      <c r="L18" s="506" t="s">
        <v>100</v>
      </c>
      <c r="M18" s="504" t="s">
        <v>101</v>
      </c>
      <c r="N18" s="504" t="s">
        <v>102</v>
      </c>
      <c r="O18" s="504" t="s">
        <v>103</v>
      </c>
      <c r="P18" s="504" t="s">
        <v>104</v>
      </c>
      <c r="Q18" s="504" t="s">
        <v>105</v>
      </c>
      <c r="R18" s="504" t="s">
        <v>106</v>
      </c>
      <c r="S18" s="504" t="s">
        <v>107</v>
      </c>
      <c r="T18" s="504" t="s">
        <v>108</v>
      </c>
      <c r="U18" s="504" t="s">
        <v>173</v>
      </c>
      <c r="V18" s="504" t="s">
        <v>174</v>
      </c>
      <c r="W18" s="504" t="s">
        <v>175</v>
      </c>
      <c r="X18" s="504" t="s">
        <v>176</v>
      </c>
      <c r="Y18" s="504" t="s">
        <v>177</v>
      </c>
      <c r="Z18" s="504" t="s">
        <v>178</v>
      </c>
      <c r="AA18" s="504" t="s">
        <v>179</v>
      </c>
      <c r="AB18" s="504" t="s">
        <v>180</v>
      </c>
      <c r="AC18" s="504" t="s">
        <v>181</v>
      </c>
      <c r="AD18" s="504" t="s">
        <v>182</v>
      </c>
      <c r="AE18" s="504" t="s">
        <v>183</v>
      </c>
      <c r="AF18" s="504" t="s">
        <v>222</v>
      </c>
      <c r="AG18" s="504" t="s">
        <v>223</v>
      </c>
      <c r="AH18" s="504" t="s">
        <v>224</v>
      </c>
      <c r="AI18" s="504" t="s">
        <v>225</v>
      </c>
      <c r="AJ18" s="504" t="s">
        <v>226</v>
      </c>
      <c r="AK18" s="504" t="s">
        <v>227</v>
      </c>
      <c r="AL18" s="504" t="s">
        <v>228</v>
      </c>
      <c r="AM18" s="173"/>
      <c r="AN18" s="173"/>
    </row>
    <row r="19" spans="2:40" s="127" customFormat="1" x14ac:dyDescent="0.25">
      <c r="B19" s="507">
        <f>+'F1948'!B25</f>
        <v>44489</v>
      </c>
      <c r="C19" s="508"/>
      <c r="D19" s="508" t="str">
        <f>+'F1948'!C25</f>
        <v>18.000.000-0</v>
      </c>
      <c r="E19" s="508"/>
      <c r="F19" s="508">
        <f>+'Datos para DJ 1948'!F4</f>
        <v>8000000</v>
      </c>
      <c r="G19" s="509">
        <f>+'Datos para DJ 1948'!C11</f>
        <v>1.018</v>
      </c>
      <c r="H19" s="508">
        <f>+'Datos para DJ 1948'!F11</f>
        <v>8144000</v>
      </c>
      <c r="I19" s="510">
        <f>+'F1948'!F25</f>
        <v>8144000</v>
      </c>
      <c r="J19" s="510"/>
      <c r="K19" s="510"/>
      <c r="L19" s="510"/>
      <c r="M19" s="510">
        <f>+'F1948'!J25</f>
        <v>0</v>
      </c>
      <c r="N19" s="511"/>
      <c r="O19" s="511"/>
      <c r="P19" s="511"/>
      <c r="Q19" s="511"/>
      <c r="R19" s="511"/>
      <c r="S19" s="511"/>
      <c r="T19" s="510">
        <f>+'F1948'!Q25</f>
        <v>0</v>
      </c>
      <c r="U19" s="508"/>
      <c r="V19" s="510"/>
      <c r="W19" s="510">
        <f>+'F1948'!T25</f>
        <v>1018619</v>
      </c>
      <c r="X19" s="510">
        <f>+'F1948'!U25</f>
        <v>180276</v>
      </c>
      <c r="Y19" s="508"/>
      <c r="Z19" s="508"/>
      <c r="AA19" s="508"/>
      <c r="AB19" s="508"/>
      <c r="AC19" s="508">
        <f>'F1948'!Z25</f>
        <v>2646062</v>
      </c>
      <c r="AD19" s="508"/>
      <c r="AE19" s="508"/>
      <c r="AF19" s="508"/>
      <c r="AG19" s="508"/>
      <c r="AH19" s="508"/>
      <c r="AI19" s="508"/>
      <c r="AJ19" s="508"/>
      <c r="AK19" s="508"/>
      <c r="AL19" s="508"/>
      <c r="AM19" s="512"/>
      <c r="AN19" s="512"/>
    </row>
    <row r="20" spans="2:40" x14ac:dyDescent="0.25">
      <c r="B20" s="513" t="s">
        <v>546</v>
      </c>
      <c r="C20" s="514"/>
      <c r="D20" s="514"/>
      <c r="E20" s="514"/>
      <c r="F20" s="410">
        <f>SUM(F19)</f>
        <v>8000000</v>
      </c>
      <c r="G20" s="515" t="s">
        <v>229</v>
      </c>
      <c r="H20" s="410">
        <f>SUM(H19)</f>
        <v>8144000</v>
      </c>
      <c r="I20" s="410">
        <f>SUM(I19)</f>
        <v>8144000</v>
      </c>
      <c r="J20" s="515"/>
      <c r="K20" s="515"/>
      <c r="L20" s="515"/>
      <c r="M20" s="410">
        <f>SUM(M19)</f>
        <v>0</v>
      </c>
      <c r="N20" s="515" t="s">
        <v>229</v>
      </c>
      <c r="O20" s="515" t="s">
        <v>229</v>
      </c>
      <c r="P20" s="515" t="s">
        <v>229</v>
      </c>
      <c r="Q20" s="515" t="s">
        <v>229</v>
      </c>
      <c r="R20" s="515" t="s">
        <v>229</v>
      </c>
      <c r="S20" s="515" t="s">
        <v>229</v>
      </c>
      <c r="T20" s="515" t="s">
        <v>229</v>
      </c>
      <c r="U20" s="515" t="s">
        <v>229</v>
      </c>
      <c r="V20" s="515" t="s">
        <v>229</v>
      </c>
      <c r="W20" s="516">
        <f>SUM(W19)</f>
        <v>1018619</v>
      </c>
      <c r="X20" s="515" t="s">
        <v>229</v>
      </c>
      <c r="Y20" s="515" t="s">
        <v>229</v>
      </c>
      <c r="Z20" s="515" t="s">
        <v>229</v>
      </c>
      <c r="AA20" s="515" t="s">
        <v>229</v>
      </c>
      <c r="AB20" s="515" t="s">
        <v>229</v>
      </c>
      <c r="AC20" s="516">
        <f>SUM(AC19)</f>
        <v>2646062</v>
      </c>
      <c r="AD20" s="515" t="s">
        <v>229</v>
      </c>
      <c r="AE20" s="515" t="s">
        <v>229</v>
      </c>
      <c r="AF20" s="515" t="s">
        <v>229</v>
      </c>
      <c r="AG20" s="515" t="s">
        <v>229</v>
      </c>
      <c r="AH20" s="515" t="s">
        <v>229</v>
      </c>
      <c r="AI20" s="515" t="s">
        <v>229</v>
      </c>
      <c r="AJ20" s="515" t="s">
        <v>229</v>
      </c>
      <c r="AK20" s="515" t="s">
        <v>229</v>
      </c>
      <c r="AL20" s="515" t="s">
        <v>229</v>
      </c>
      <c r="AM20" s="173"/>
      <c r="AN20" s="173"/>
    </row>
    <row r="21" spans="2:40" x14ac:dyDescent="0.25">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512"/>
      <c r="AK21" s="512"/>
      <c r="AL21" s="512"/>
      <c r="AM21" s="173"/>
      <c r="AN21" s="173"/>
    </row>
    <row r="22" spans="2:40" ht="15" customHeight="1" x14ac:dyDescent="0.25">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row>
    <row r="23" spans="2:40" x14ac:dyDescent="0.25">
      <c r="B23" s="517" t="s">
        <v>230</v>
      </c>
      <c r="C23" s="517"/>
      <c r="D23" s="517"/>
      <c r="E23" s="517"/>
      <c r="F23" s="517"/>
      <c r="G23" s="517"/>
      <c r="H23" s="517"/>
      <c r="I23" s="517"/>
      <c r="J23" s="517"/>
      <c r="K23" s="517"/>
      <c r="L23" s="517"/>
      <c r="M23" s="517"/>
      <c r="N23" s="517"/>
      <c r="O23" s="517"/>
      <c r="P23" s="517"/>
      <c r="Q23" s="517"/>
      <c r="R23" s="517"/>
      <c r="S23" s="517"/>
      <c r="T23" s="517"/>
      <c r="U23" s="517"/>
      <c r="V23" s="173"/>
      <c r="W23" s="173"/>
      <c r="X23" s="173"/>
      <c r="Y23" s="173"/>
      <c r="Z23" s="173"/>
      <c r="AA23" s="173"/>
      <c r="AB23" s="173"/>
      <c r="AC23" s="173"/>
      <c r="AD23" s="173"/>
      <c r="AE23" s="173"/>
      <c r="AF23" s="173"/>
      <c r="AG23" s="173"/>
      <c r="AH23" s="173"/>
      <c r="AI23" s="173"/>
      <c r="AJ23" s="173"/>
      <c r="AK23" s="173"/>
      <c r="AL23" s="173"/>
      <c r="AM23" s="173"/>
      <c r="AN23" s="173"/>
    </row>
    <row r="24" spans="2:40" ht="15" customHeight="1" x14ac:dyDescent="0.25">
      <c r="B24" s="173"/>
      <c r="C24" s="173"/>
      <c r="D24" s="173"/>
      <c r="E24" s="173"/>
      <c r="F24" s="173"/>
      <c r="G24" s="173"/>
      <c r="H24" s="173"/>
      <c r="I24" s="173"/>
      <c r="J24" s="173"/>
      <c r="K24" s="173"/>
      <c r="L24" s="173"/>
      <c r="M24" s="517"/>
      <c r="N24" s="517"/>
      <c r="O24" s="517"/>
      <c r="P24" s="517"/>
      <c r="Q24" s="517"/>
      <c r="R24" s="517"/>
      <c r="S24" s="517"/>
      <c r="T24" s="517"/>
      <c r="U24" s="517"/>
      <c r="V24" s="173"/>
      <c r="W24" s="173"/>
      <c r="X24" s="173"/>
      <c r="Y24" s="173"/>
      <c r="Z24" s="173"/>
      <c r="AA24" s="173"/>
      <c r="AB24" s="173"/>
      <c r="AC24" s="173"/>
      <c r="AD24" s="173"/>
      <c r="AE24" s="173"/>
      <c r="AF24" s="173"/>
      <c r="AG24" s="173"/>
      <c r="AH24" s="173"/>
      <c r="AI24" s="173"/>
      <c r="AJ24" s="173"/>
      <c r="AK24" s="173"/>
      <c r="AL24" s="173"/>
      <c r="AM24" s="173"/>
      <c r="AN24" s="173"/>
    </row>
    <row r="25" spans="2:40" x14ac:dyDescent="0.25">
      <c r="B25" s="173" t="s">
        <v>624</v>
      </c>
      <c r="C25" s="503"/>
      <c r="D25" s="503"/>
      <c r="E25" s="503"/>
      <c r="F25" s="503"/>
      <c r="G25" s="173"/>
      <c r="H25" s="173"/>
      <c r="I25" s="173"/>
      <c r="J25" s="173"/>
      <c r="K25" s="173"/>
      <c r="L25" s="173"/>
      <c r="M25" s="517"/>
      <c r="N25" s="517"/>
      <c r="O25" s="517"/>
      <c r="P25" s="517"/>
      <c r="Q25" s="517"/>
      <c r="R25" s="517"/>
      <c r="S25" s="517"/>
      <c r="T25" s="517"/>
      <c r="U25" s="517"/>
      <c r="V25" s="173"/>
      <c r="W25" s="173"/>
      <c r="X25" s="173"/>
      <c r="Y25" s="173"/>
      <c r="Z25" s="173"/>
      <c r="AA25" s="173"/>
      <c r="AB25" s="173"/>
      <c r="AC25" s="173"/>
      <c r="AD25" s="173"/>
      <c r="AE25" s="173"/>
      <c r="AF25" s="173"/>
      <c r="AG25" s="173"/>
      <c r="AH25" s="173"/>
      <c r="AI25" s="173"/>
      <c r="AJ25" s="173"/>
      <c r="AK25" s="173"/>
      <c r="AL25" s="173"/>
      <c r="AM25" s="173"/>
      <c r="AN25" s="173"/>
    </row>
    <row r="26" spans="2:40" x14ac:dyDescent="0.25">
      <c r="B26" s="173"/>
      <c r="C26" s="503"/>
      <c r="D26" s="503"/>
      <c r="E26" s="503"/>
      <c r="F26" s="50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row>
    <row r="27" spans="2:40" x14ac:dyDescent="0.25">
      <c r="B27" s="173"/>
      <c r="C27" s="503"/>
      <c r="D27" s="503"/>
      <c r="E27" s="503"/>
      <c r="F27" s="50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row>
    <row r="28" spans="2:40" x14ac:dyDescent="0.25">
      <c r="B28" s="173"/>
      <c r="C28" s="173"/>
      <c r="D28" s="503"/>
      <c r="E28" s="50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row>
    <row r="29" spans="2:40" ht="15" customHeight="1" x14ac:dyDescent="0.25">
      <c r="B29" s="173"/>
      <c r="C29" s="173"/>
      <c r="D29" s="503"/>
      <c r="E29" s="50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row>
    <row r="30" spans="2:40" x14ac:dyDescent="0.25">
      <c r="B30" s="142"/>
      <c r="C30" s="142"/>
      <c r="D30" s="503"/>
      <c r="E30" s="503"/>
      <c r="F30" s="142"/>
      <c r="G30" s="142"/>
      <c r="H30" s="142"/>
      <c r="I30" s="142"/>
      <c r="J30" s="142"/>
      <c r="K30" s="142"/>
      <c r="L30" s="173"/>
      <c r="M30" s="142"/>
      <c r="N30" s="518"/>
      <c r="O30" s="519"/>
      <c r="P30" s="518" t="s">
        <v>231</v>
      </c>
      <c r="Q30" s="518"/>
      <c r="R30" s="518"/>
      <c r="S30" s="518"/>
      <c r="T30" s="518"/>
      <c r="U30" s="155"/>
      <c r="V30" s="155"/>
      <c r="W30" s="155"/>
      <c r="X30" s="173"/>
      <c r="Y30" s="173"/>
      <c r="Z30" s="173"/>
      <c r="AA30" s="173"/>
      <c r="AB30" s="173"/>
      <c r="AC30" s="173"/>
      <c r="AD30" s="173"/>
      <c r="AE30" s="173"/>
      <c r="AF30" s="173"/>
      <c r="AG30" s="173"/>
      <c r="AH30" s="173"/>
      <c r="AI30" s="173"/>
      <c r="AJ30" s="173"/>
      <c r="AK30" s="173"/>
      <c r="AL30" s="173"/>
      <c r="AM30" s="173"/>
      <c r="AN30" s="173"/>
    </row>
    <row r="31" spans="2:40" x14ac:dyDescent="0.25">
      <c r="B31" s="142"/>
      <c r="C31" s="142"/>
      <c r="D31" s="503"/>
      <c r="E31" s="503"/>
      <c r="F31" s="142"/>
      <c r="G31" s="142"/>
      <c r="H31" s="142"/>
      <c r="I31" s="142"/>
      <c r="J31" s="142"/>
      <c r="K31" s="142"/>
      <c r="L31" s="142"/>
      <c r="M31" s="142"/>
      <c r="N31" s="142"/>
      <c r="O31" s="142"/>
      <c r="P31" s="142"/>
      <c r="Q31" s="142"/>
      <c r="R31" s="142"/>
      <c r="S31" s="142"/>
      <c r="T31" s="142"/>
      <c r="U31" s="173"/>
      <c r="V31" s="173"/>
      <c r="W31" s="173"/>
      <c r="X31" s="173"/>
      <c r="Y31" s="173"/>
    </row>
    <row r="32" spans="2:40" x14ac:dyDescent="0.25">
      <c r="B32" s="142"/>
      <c r="C32" s="142"/>
      <c r="D32" s="503"/>
      <c r="E32" s="503"/>
      <c r="F32" s="142"/>
      <c r="G32" s="142"/>
      <c r="H32" s="142"/>
      <c r="I32" s="142"/>
      <c r="J32" s="142"/>
      <c r="K32" s="142"/>
      <c r="L32" s="142"/>
      <c r="M32" s="142"/>
      <c r="N32" s="142"/>
      <c r="O32" s="142"/>
      <c r="P32" s="142"/>
      <c r="Q32" s="142"/>
      <c r="R32" s="142"/>
      <c r="S32" s="142"/>
      <c r="T32" s="142"/>
      <c r="U32" s="173"/>
      <c r="V32" s="173"/>
      <c r="W32" s="173"/>
      <c r="X32" s="173"/>
      <c r="Y32" s="173"/>
    </row>
    <row r="33" spans="4:20" x14ac:dyDescent="0.25">
      <c r="D33" s="125"/>
      <c r="E33" s="125"/>
      <c r="M33" s="128"/>
      <c r="N33" s="128"/>
      <c r="O33" s="128"/>
      <c r="P33" s="128"/>
      <c r="Q33" s="128"/>
      <c r="R33" s="128"/>
      <c r="S33" s="128"/>
      <c r="T33" s="128"/>
    </row>
    <row r="34" spans="4:20" ht="15" customHeight="1" x14ac:dyDescent="0.25">
      <c r="D34" s="125"/>
      <c r="E34" s="125"/>
      <c r="M34" s="128"/>
      <c r="N34" s="128"/>
      <c r="O34" s="128"/>
      <c r="P34" s="128"/>
      <c r="Q34" s="128"/>
      <c r="R34" s="128"/>
      <c r="S34" s="128"/>
      <c r="T34" s="128"/>
    </row>
    <row r="35" spans="4:20" x14ac:dyDescent="0.25">
      <c r="D35" s="125"/>
      <c r="E35" s="125"/>
      <c r="M35" s="128"/>
      <c r="N35" s="128"/>
      <c r="O35" s="128"/>
      <c r="P35" s="128"/>
      <c r="Q35" s="128"/>
      <c r="R35" s="128"/>
      <c r="S35" s="128"/>
      <c r="T35" s="128"/>
    </row>
    <row r="36" spans="4:20" x14ac:dyDescent="0.25">
      <c r="D36" s="125"/>
      <c r="E36" s="125"/>
      <c r="M36" s="128"/>
      <c r="N36" s="128"/>
      <c r="O36" s="128"/>
      <c r="P36" s="128"/>
      <c r="Q36" s="128"/>
      <c r="R36" s="128"/>
      <c r="S36" s="128"/>
      <c r="T36" s="128"/>
    </row>
    <row r="37" spans="4:20" x14ac:dyDescent="0.25">
      <c r="M37" s="128"/>
      <c r="N37" s="128"/>
      <c r="O37" s="128"/>
      <c r="P37" s="128"/>
      <c r="Q37" s="128"/>
      <c r="R37" s="128"/>
      <c r="S37" s="128"/>
      <c r="T37" s="128"/>
    </row>
    <row r="38" spans="4:20" x14ac:dyDescent="0.25">
      <c r="M38" s="128"/>
      <c r="N38" s="128"/>
      <c r="O38" s="128"/>
      <c r="P38" s="128"/>
      <c r="Q38" s="128"/>
      <c r="R38" s="128"/>
      <c r="S38" s="128"/>
      <c r="T38" s="128"/>
    </row>
  </sheetData>
  <mergeCells count="50">
    <mergeCell ref="B10:R10"/>
    <mergeCell ref="B12:B17"/>
    <mergeCell ref="C12:C17"/>
    <mergeCell ref="D12:D17"/>
    <mergeCell ref="E12:E17"/>
    <mergeCell ref="F12:F17"/>
    <mergeCell ref="G12:G17"/>
    <mergeCell ref="H12:P12"/>
    <mergeCell ref="M14:Q14"/>
    <mergeCell ref="R14:S14"/>
    <mergeCell ref="R15:R17"/>
    <mergeCell ref="S15:S17"/>
    <mergeCell ref="U12:AH12"/>
    <mergeCell ref="AJ12:AJ17"/>
    <mergeCell ref="AK12:AK17"/>
    <mergeCell ref="AL12:AL17"/>
    <mergeCell ref="H13:H17"/>
    <mergeCell ref="I13:L16"/>
    <mergeCell ref="M13:T13"/>
    <mergeCell ref="U13:AC13"/>
    <mergeCell ref="AD13:AH13"/>
    <mergeCell ref="AI13:AI17"/>
    <mergeCell ref="AH14:AH17"/>
    <mergeCell ref="M15:M17"/>
    <mergeCell ref="N15:N17"/>
    <mergeCell ref="O15:O17"/>
    <mergeCell ref="P15:P17"/>
    <mergeCell ref="Q15:Q17"/>
    <mergeCell ref="U15:V15"/>
    <mergeCell ref="W15:X15"/>
    <mergeCell ref="T14:T17"/>
    <mergeCell ref="U14:Z14"/>
    <mergeCell ref="AA14:AB14"/>
    <mergeCell ref="U16:U17"/>
    <mergeCell ref="V16:V17"/>
    <mergeCell ref="W16:W17"/>
    <mergeCell ref="X16:X17"/>
    <mergeCell ref="Y16:Y17"/>
    <mergeCell ref="Z16:Z17"/>
    <mergeCell ref="AA16:AA17"/>
    <mergeCell ref="AB16:AB17"/>
    <mergeCell ref="Y15:Z15"/>
    <mergeCell ref="AA15:AB15"/>
    <mergeCell ref="AC14:AC17"/>
    <mergeCell ref="AD14:AE14"/>
    <mergeCell ref="AF14:AG14"/>
    <mergeCell ref="AF15:AF17"/>
    <mergeCell ref="AG15:AG17"/>
    <mergeCell ref="AD15:AD17"/>
    <mergeCell ref="AE15:AE17"/>
  </mergeCells>
  <phoneticPr fontId="33" type="noConversion"/>
  <pageMargins left="0.42" right="0.70866141732283472" top="0.43307086614173229" bottom="0.39370078740157483" header="0.31496062992125984" footer="0.31496062992125984"/>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Q74"/>
  <sheetViews>
    <sheetView showGridLines="0" topLeftCell="C25" zoomScale="130" zoomScaleNormal="130" zoomScalePageLayoutView="130" workbookViewId="0">
      <selection activeCell="I29" sqref="I29"/>
    </sheetView>
  </sheetViews>
  <sheetFormatPr baseColWidth="10" defaultColWidth="9.140625" defaultRowHeight="15" x14ac:dyDescent="0.25"/>
  <cols>
    <col min="1" max="1" width="1.85546875" style="4" customWidth="1"/>
    <col min="2" max="2" width="4" style="4" bestFit="1" customWidth="1"/>
    <col min="3" max="3" width="10.42578125" style="4" customWidth="1"/>
    <col min="4" max="4" width="11.140625" style="4" bestFit="1" customWidth="1"/>
    <col min="5" max="5" width="12.42578125" style="4" customWidth="1"/>
    <col min="6" max="6" width="10.42578125" style="4" bestFit="1" customWidth="1"/>
    <col min="7" max="7" width="10.85546875" style="4" bestFit="1" customWidth="1"/>
    <col min="8" max="8" width="10.42578125" style="4" bestFit="1" customWidth="1"/>
    <col min="9" max="9" width="10.85546875" style="4" customWidth="1"/>
    <col min="10" max="10" width="3.140625" style="4" customWidth="1"/>
    <col min="11" max="11" width="9.140625" style="4"/>
    <col min="12" max="12" width="11" style="4" customWidth="1"/>
    <col min="13" max="13" width="11.42578125" style="4" bestFit="1" customWidth="1"/>
    <col min="14" max="14" width="11.85546875" style="4" customWidth="1"/>
    <col min="15" max="15" width="12.140625" style="4" customWidth="1"/>
    <col min="16" max="16" width="10" style="4" bestFit="1" customWidth="1"/>
    <col min="17" max="17" width="10.42578125" style="4" customWidth="1"/>
    <col min="18" max="16384" width="9.140625" style="4"/>
  </cols>
  <sheetData>
    <row r="2" spans="2:15" ht="18.75" x14ac:dyDescent="0.3">
      <c r="C2" s="5" t="s">
        <v>602</v>
      </c>
      <c r="K2" s="5" t="s">
        <v>603</v>
      </c>
    </row>
    <row r="3" spans="2:15" x14ac:dyDescent="0.25">
      <c r="C3" s="6" t="s">
        <v>604</v>
      </c>
      <c r="D3" s="7" t="s">
        <v>605</v>
      </c>
      <c r="E3" s="8"/>
      <c r="F3" s="8"/>
      <c r="G3" s="8"/>
      <c r="H3" s="9">
        <v>43600</v>
      </c>
      <c r="I3" s="10">
        <f>+Antecedentes!K14</f>
        <v>30000000</v>
      </c>
      <c r="K3" s="11" t="s">
        <v>606</v>
      </c>
      <c r="L3" s="8"/>
      <c r="M3" s="8"/>
      <c r="N3" s="8"/>
      <c r="O3" s="10">
        <f>+I3</f>
        <v>30000000</v>
      </c>
    </row>
    <row r="4" spans="2:15" x14ac:dyDescent="0.25">
      <c r="C4" s="12"/>
      <c r="D4" s="13" t="s">
        <v>549</v>
      </c>
      <c r="H4" s="14"/>
      <c r="I4" s="15">
        <v>0.02</v>
      </c>
      <c r="K4" s="16" t="s">
        <v>550</v>
      </c>
      <c r="O4" s="17">
        <v>101.54</v>
      </c>
    </row>
    <row r="5" spans="2:15" x14ac:dyDescent="0.25">
      <c r="C5" s="12"/>
      <c r="D5" s="13" t="s">
        <v>607</v>
      </c>
      <c r="H5" s="14"/>
      <c r="I5" s="18">
        <f>ROUND(+I3*I4,0)</f>
        <v>600000</v>
      </c>
      <c r="K5" s="16" t="s">
        <v>551</v>
      </c>
      <c r="O5" s="17">
        <v>103.55</v>
      </c>
    </row>
    <row r="6" spans="2:15" x14ac:dyDescent="0.25">
      <c r="C6" s="19" t="s">
        <v>608</v>
      </c>
      <c r="D6" s="20" t="s">
        <v>609</v>
      </c>
      <c r="E6" s="21"/>
      <c r="F6" s="22"/>
      <c r="G6" s="22"/>
      <c r="H6" s="23">
        <v>43830</v>
      </c>
      <c r="I6" s="24">
        <f>+I5+I3</f>
        <v>30600000</v>
      </c>
      <c r="K6" s="16" t="s">
        <v>590</v>
      </c>
      <c r="O6" s="25">
        <f>ROUND(+O5/O4,3)</f>
        <v>1.02</v>
      </c>
    </row>
    <row r="7" spans="2:15" x14ac:dyDescent="0.25">
      <c r="B7" s="14"/>
      <c r="K7" s="26" t="s">
        <v>610</v>
      </c>
      <c r="L7" s="21"/>
      <c r="M7" s="22"/>
      <c r="N7" s="22"/>
      <c r="O7" s="27">
        <f>+O3*O6</f>
        <v>30600000</v>
      </c>
    </row>
    <row r="8" spans="2:15" ht="18.75" x14ac:dyDescent="0.3">
      <c r="B8" s="14"/>
      <c r="J8" s="13"/>
      <c r="K8" s="5" t="s">
        <v>611</v>
      </c>
      <c r="L8" s="28"/>
      <c r="M8" s="29"/>
    </row>
    <row r="9" spans="2:15" x14ac:dyDescent="0.25">
      <c r="C9" s="30" t="s">
        <v>612</v>
      </c>
      <c r="D9" s="31"/>
      <c r="E9" s="32"/>
      <c r="F9" s="33" t="s">
        <v>613</v>
      </c>
      <c r="G9" s="33" t="s">
        <v>614</v>
      </c>
      <c r="H9" s="33" t="s">
        <v>615</v>
      </c>
      <c r="I9" s="33" t="s">
        <v>504</v>
      </c>
      <c r="K9" s="11" t="s">
        <v>606</v>
      </c>
      <c r="L9" s="8"/>
      <c r="M9" s="8"/>
      <c r="N9" s="8"/>
      <c r="O9" s="10">
        <v>20000000</v>
      </c>
    </row>
    <row r="10" spans="2:15" x14ac:dyDescent="0.25">
      <c r="C10" s="11" t="s">
        <v>433</v>
      </c>
      <c r="D10" s="8"/>
      <c r="E10" s="8"/>
      <c r="F10" s="34">
        <f>+I3</f>
        <v>30000000</v>
      </c>
      <c r="G10" s="34">
        <f>-H11+G28</f>
        <v>67500000</v>
      </c>
      <c r="H10" s="34">
        <f>-G13-H16+H25+H26-G15-G14</f>
        <v>-84400000</v>
      </c>
      <c r="I10" s="35">
        <f>SUM(F10:H10)</f>
        <v>13100000</v>
      </c>
      <c r="K10" s="16" t="s">
        <v>548</v>
      </c>
      <c r="O10" s="17">
        <v>100.79</v>
      </c>
    </row>
    <row r="11" spans="2:15" x14ac:dyDescent="0.25">
      <c r="C11" s="16" t="s">
        <v>505</v>
      </c>
      <c r="D11" s="13"/>
      <c r="E11" s="13"/>
      <c r="F11" s="29"/>
      <c r="G11" s="29">
        <f>+G23</f>
        <v>75500000</v>
      </c>
      <c r="H11" s="94">
        <f>-G11+8000000</f>
        <v>-67500000</v>
      </c>
      <c r="I11" s="36">
        <f t="shared" ref="I11" si="0">SUM(F11:H11)</f>
        <v>8000000</v>
      </c>
      <c r="K11" s="16" t="s">
        <v>506</v>
      </c>
      <c r="O11" s="37">
        <v>105.7</v>
      </c>
    </row>
    <row r="12" spans="2:15" x14ac:dyDescent="0.25">
      <c r="C12" s="16" t="s">
        <v>507</v>
      </c>
      <c r="D12" s="13"/>
      <c r="E12" s="13"/>
      <c r="F12" s="29"/>
      <c r="G12" s="94">
        <v>50000000</v>
      </c>
      <c r="H12" s="29">
        <f>+H24</f>
        <v>-37500000</v>
      </c>
      <c r="I12" s="36">
        <f>SUM(F12:H12)</f>
        <v>12500000</v>
      </c>
      <c r="K12" s="16" t="s">
        <v>590</v>
      </c>
      <c r="O12" s="25">
        <f>ROUND(+O11/O10,3)</f>
        <v>1.0489999999999999</v>
      </c>
    </row>
    <row r="13" spans="2:15" x14ac:dyDescent="0.25">
      <c r="C13" s="16" t="s">
        <v>508</v>
      </c>
      <c r="D13" s="13"/>
      <c r="E13" s="13"/>
      <c r="F13" s="29"/>
      <c r="G13" s="94">
        <v>12000000</v>
      </c>
      <c r="H13" s="29">
        <f>-G13/12*6</f>
        <v>-6000000</v>
      </c>
      <c r="I13" s="36">
        <f>SUM(F13:H13)</f>
        <v>6000000</v>
      </c>
      <c r="K13" s="26" t="s">
        <v>610</v>
      </c>
      <c r="L13" s="21"/>
      <c r="M13" s="22"/>
      <c r="N13" s="22"/>
      <c r="O13" s="27">
        <f>+O9*O12</f>
        <v>20980000</v>
      </c>
    </row>
    <row r="14" spans="2:15" x14ac:dyDescent="0.25">
      <c r="C14" s="16" t="s">
        <v>424</v>
      </c>
      <c r="D14" s="13"/>
      <c r="E14" s="13"/>
      <c r="F14" s="29"/>
      <c r="G14" s="94">
        <v>5000000</v>
      </c>
      <c r="H14" s="29"/>
      <c r="I14" s="36">
        <f t="shared" ref="I14:I15" si="1">SUM(F14:H14)</f>
        <v>5000000</v>
      </c>
      <c r="K14" s="100"/>
      <c r="L14" s="96"/>
      <c r="M14" s="98"/>
      <c r="N14" s="98"/>
      <c r="O14" s="101"/>
    </row>
    <row r="15" spans="2:15" x14ac:dyDescent="0.25">
      <c r="C15" s="16" t="s">
        <v>423</v>
      </c>
      <c r="G15" s="29">
        <v>8000000</v>
      </c>
      <c r="I15" s="36">
        <f t="shared" si="1"/>
        <v>8000000</v>
      </c>
    </row>
    <row r="16" spans="2:15" x14ac:dyDescent="0.25">
      <c r="C16" s="16" t="s">
        <v>509</v>
      </c>
      <c r="D16" s="13"/>
      <c r="E16" s="13"/>
      <c r="F16" s="29"/>
      <c r="G16" s="29">
        <f>-G12</f>
        <v>-50000000</v>
      </c>
      <c r="H16" s="94">
        <f>-G16-2000000</f>
        <v>48000000</v>
      </c>
      <c r="I16" s="36">
        <f>SUM(F16:H16)</f>
        <v>-2000000</v>
      </c>
    </row>
    <row r="17" spans="2:15" ht="15.75" thickBot="1" x14ac:dyDescent="0.3">
      <c r="C17" s="16"/>
      <c r="D17" s="13"/>
      <c r="E17" s="13"/>
      <c r="F17" s="29"/>
      <c r="G17" s="29"/>
      <c r="H17" s="29"/>
      <c r="I17" s="38">
        <f>SUM(I10:I16)</f>
        <v>50600000</v>
      </c>
    </row>
    <row r="18" spans="2:15" ht="15.75" thickTop="1" x14ac:dyDescent="0.25">
      <c r="C18" s="16" t="s">
        <v>510</v>
      </c>
      <c r="F18" s="29">
        <f>+F10</f>
        <v>30000000</v>
      </c>
      <c r="G18" s="29"/>
      <c r="H18" s="29"/>
      <c r="I18" s="36">
        <f>SUM(F18:H18)</f>
        <v>30000000</v>
      </c>
    </row>
    <row r="19" spans="2:15" x14ac:dyDescent="0.25">
      <c r="C19" s="16" t="s">
        <v>511</v>
      </c>
      <c r="F19" s="29"/>
      <c r="G19" s="29"/>
      <c r="H19" s="29"/>
      <c r="I19" s="36">
        <f>+I29</f>
        <v>20600000</v>
      </c>
    </row>
    <row r="20" spans="2:15" x14ac:dyDescent="0.25">
      <c r="C20" s="39"/>
      <c r="D20" s="22"/>
      <c r="E20" s="22"/>
      <c r="F20" s="40"/>
      <c r="G20" s="40"/>
      <c r="H20" s="40"/>
      <c r="I20" s="41">
        <f>SUM(I18:I19)</f>
        <v>50600000</v>
      </c>
    </row>
    <row r="21" spans="2:15" x14ac:dyDescent="0.25">
      <c r="C21" s="13"/>
      <c r="F21" s="29"/>
      <c r="G21" s="29"/>
      <c r="H21" s="29"/>
      <c r="I21" s="42">
        <f>+I20-I17</f>
        <v>0</v>
      </c>
    </row>
    <row r="22" spans="2:15" x14ac:dyDescent="0.25">
      <c r="C22" s="43" t="s">
        <v>512</v>
      </c>
      <c r="F22" s="29"/>
      <c r="G22" s="29"/>
      <c r="H22" s="29"/>
      <c r="I22" s="29"/>
      <c r="K22" s="43" t="s">
        <v>513</v>
      </c>
    </row>
    <row r="23" spans="2:15" x14ac:dyDescent="0.25">
      <c r="C23" s="11" t="s">
        <v>514</v>
      </c>
      <c r="D23" s="7"/>
      <c r="E23" s="7"/>
      <c r="F23" s="34"/>
      <c r="G23" s="93">
        <v>75500000</v>
      </c>
      <c r="H23" s="34"/>
      <c r="I23" s="35">
        <f t="shared" ref="I23:I28" si="2">SUM(F23:H23)</f>
        <v>75500000</v>
      </c>
      <c r="K23" s="11" t="str">
        <f>+C29</f>
        <v>Resultado del Ejercicio</v>
      </c>
      <c r="L23" s="8"/>
      <c r="M23" s="8"/>
      <c r="N23" s="8"/>
      <c r="O23" s="35">
        <f>+I29</f>
        <v>20600000</v>
      </c>
    </row>
    <row r="24" spans="2:15" x14ac:dyDescent="0.25">
      <c r="B24" s="44">
        <v>0.75</v>
      </c>
      <c r="C24" s="16" t="s">
        <v>515</v>
      </c>
      <c r="D24" s="13"/>
      <c r="E24" s="13"/>
      <c r="F24" s="29"/>
      <c r="G24" s="29"/>
      <c r="H24" s="29">
        <f>-G12*B24</f>
        <v>-37500000</v>
      </c>
      <c r="I24" s="36">
        <f t="shared" si="2"/>
        <v>-37500000</v>
      </c>
      <c r="K24" s="16" t="s">
        <v>516</v>
      </c>
      <c r="O24" s="45"/>
    </row>
    <row r="25" spans="2:15" x14ac:dyDescent="0.25">
      <c r="C25" s="16" t="s">
        <v>517</v>
      </c>
      <c r="D25" s="13"/>
      <c r="E25" s="13"/>
      <c r="F25" s="29"/>
      <c r="G25" s="29"/>
      <c r="H25" s="94">
        <f>-1940000-300000+-600000</f>
        <v>-2840000</v>
      </c>
      <c r="I25" s="36">
        <f t="shared" si="2"/>
        <v>-2840000</v>
      </c>
      <c r="K25" s="16" t="s">
        <v>519</v>
      </c>
      <c r="O25" s="45"/>
    </row>
    <row r="26" spans="2:15" x14ac:dyDescent="0.25">
      <c r="C26" s="16" t="s">
        <v>518</v>
      </c>
      <c r="D26" s="13"/>
      <c r="E26" s="13"/>
      <c r="F26" s="13"/>
      <c r="G26" s="13"/>
      <c r="H26" s="94">
        <f>-8800000+440000-200000</f>
        <v>-8560000</v>
      </c>
      <c r="I26" s="36">
        <f t="shared" si="2"/>
        <v>-8560000</v>
      </c>
      <c r="K26" s="16" t="s">
        <v>434</v>
      </c>
      <c r="O26" s="36"/>
    </row>
    <row r="27" spans="2:15" x14ac:dyDescent="0.25">
      <c r="C27" s="16" t="s">
        <v>520</v>
      </c>
      <c r="D27" s="13"/>
      <c r="E27" s="13"/>
      <c r="F27" s="13"/>
      <c r="G27" s="13"/>
      <c r="H27" s="94">
        <f>+H13</f>
        <v>-6000000</v>
      </c>
      <c r="I27" s="36">
        <f t="shared" si="2"/>
        <v>-6000000</v>
      </c>
      <c r="K27" s="16" t="s">
        <v>521</v>
      </c>
      <c r="M27" s="29">
        <f>+I3</f>
        <v>30000000</v>
      </c>
      <c r="N27" s="46">
        <f>+I4</f>
        <v>0.02</v>
      </c>
      <c r="O27" s="36">
        <f>ROUND(-+M27*N27,0)</f>
        <v>-600000</v>
      </c>
    </row>
    <row r="28" spans="2:15" x14ac:dyDescent="0.25">
      <c r="C28" s="16" t="s">
        <v>434</v>
      </c>
      <c r="D28" s="13"/>
      <c r="E28" s="13"/>
      <c r="F28" s="13"/>
      <c r="G28" s="94">
        <v>0</v>
      </c>
      <c r="H28" s="13"/>
      <c r="I28" s="36">
        <f t="shared" si="2"/>
        <v>0</v>
      </c>
      <c r="K28" s="49" t="s">
        <v>522</v>
      </c>
      <c r="L28" s="31"/>
      <c r="M28" s="31"/>
      <c r="N28" s="31"/>
      <c r="O28" s="50">
        <f>SUM(O23:O27)</f>
        <v>20000000</v>
      </c>
    </row>
    <row r="29" spans="2:15" x14ac:dyDescent="0.25">
      <c r="C29" s="47" t="s">
        <v>511</v>
      </c>
      <c r="D29" s="21"/>
      <c r="E29" s="21"/>
      <c r="F29" s="21"/>
      <c r="G29" s="21"/>
      <c r="H29" s="21"/>
      <c r="I29" s="48">
        <f>SUM(I23:I28)</f>
        <v>20600000</v>
      </c>
      <c r="K29" s="16" t="s">
        <v>422</v>
      </c>
      <c r="O29" s="45"/>
    </row>
    <row r="30" spans="2:15" x14ac:dyDescent="0.25">
      <c r="C30" s="95"/>
      <c r="D30" s="96"/>
      <c r="E30" s="96"/>
      <c r="F30" s="96"/>
      <c r="G30" s="96"/>
      <c r="H30" s="96"/>
      <c r="I30" s="97"/>
      <c r="K30" s="16" t="s">
        <v>431</v>
      </c>
      <c r="L30" s="29">
        <f>+O28</f>
        <v>20000000</v>
      </c>
      <c r="M30" s="29">
        <f>-G15</f>
        <v>-8000000</v>
      </c>
      <c r="N30" s="29">
        <f>+O28+M30</f>
        <v>12000000</v>
      </c>
      <c r="O30" s="36">
        <f>+ROUND(-N30*50%,0)</f>
        <v>-6000000</v>
      </c>
    </row>
    <row r="31" spans="2:15" x14ac:dyDescent="0.25">
      <c r="B31" s="51" t="s">
        <v>493</v>
      </c>
      <c r="C31" s="43" t="s">
        <v>421</v>
      </c>
      <c r="D31" s="52"/>
      <c r="E31" s="52"/>
      <c r="F31" s="52"/>
      <c r="G31" s="53"/>
      <c r="H31" s="53"/>
      <c r="I31" s="54"/>
      <c r="K31" s="49" t="s">
        <v>522</v>
      </c>
      <c r="L31" s="31"/>
      <c r="M31" s="31"/>
      <c r="N31" s="31"/>
      <c r="O31" s="50">
        <f>SUM(O28:O30)</f>
        <v>14000000</v>
      </c>
    </row>
    <row r="32" spans="2:15" x14ac:dyDescent="0.25">
      <c r="B32" s="2"/>
      <c r="C32" s="56" t="s">
        <v>524</v>
      </c>
      <c r="D32" s="57"/>
      <c r="E32" s="57"/>
      <c r="F32" s="58"/>
      <c r="G32" s="58"/>
      <c r="H32" s="59"/>
      <c r="I32" s="60">
        <f>+SUM(H33:H38)</f>
        <v>44600000</v>
      </c>
      <c r="K32" s="49" t="s">
        <v>438</v>
      </c>
      <c r="L32" s="31"/>
      <c r="M32" s="31"/>
      <c r="N32" s="107">
        <v>0.25</v>
      </c>
      <c r="O32" s="50">
        <f>ROUND(+O31*N32,0)</f>
        <v>3500000</v>
      </c>
    </row>
    <row r="33" spans="2:17" x14ac:dyDescent="0.25">
      <c r="B33" s="2"/>
      <c r="C33" s="16" t="str">
        <f t="shared" ref="C33:C38" si="3">+C10</f>
        <v>Banco</v>
      </c>
      <c r="D33" s="14"/>
      <c r="E33" s="14"/>
      <c r="F33" s="61"/>
      <c r="G33" s="14"/>
      <c r="H33" s="29">
        <f>+I10</f>
        <v>13100000</v>
      </c>
      <c r="I33" s="62"/>
      <c r="K33" s="43" t="s">
        <v>523</v>
      </c>
      <c r="L33" s="98"/>
      <c r="M33" s="98"/>
      <c r="O33" s="99"/>
    </row>
    <row r="34" spans="2:17" x14ac:dyDescent="0.25">
      <c r="B34" s="2"/>
      <c r="C34" s="16" t="str">
        <f t="shared" si="3"/>
        <v>Clientes</v>
      </c>
      <c r="D34" s="14"/>
      <c r="E34" s="14"/>
      <c r="F34" s="64"/>
      <c r="G34" s="14"/>
      <c r="H34" s="29">
        <f>+I11</f>
        <v>8000000</v>
      </c>
      <c r="I34" s="62"/>
      <c r="K34" s="11" t="s">
        <v>525</v>
      </c>
      <c r="L34" s="7"/>
      <c r="M34" s="8"/>
      <c r="N34" s="8"/>
      <c r="O34" s="35">
        <f>+I41</f>
        <v>42600000</v>
      </c>
    </row>
    <row r="35" spans="2:17" x14ac:dyDescent="0.25">
      <c r="B35" s="2"/>
      <c r="C35" s="16" t="str">
        <f t="shared" si="3"/>
        <v>Existencias</v>
      </c>
      <c r="D35" s="14"/>
      <c r="E35" s="14"/>
      <c r="F35" s="61"/>
      <c r="G35" s="14"/>
      <c r="H35" s="29">
        <f>+I12</f>
        <v>12500000</v>
      </c>
      <c r="I35" s="62"/>
      <c r="K35" s="16" t="s">
        <v>428</v>
      </c>
      <c r="L35" s="13"/>
      <c r="M35" s="29"/>
      <c r="N35" s="63"/>
      <c r="O35" s="36">
        <f>+I15</f>
        <v>8000000</v>
      </c>
    </row>
    <row r="36" spans="2:17" x14ac:dyDescent="0.25">
      <c r="B36" s="2"/>
      <c r="C36" s="16" t="str">
        <f t="shared" si="3"/>
        <v>Activo Fijo</v>
      </c>
      <c r="D36" s="14"/>
      <c r="E36" s="14"/>
      <c r="F36" s="61"/>
      <c r="G36" s="14"/>
      <c r="H36" s="29">
        <f>+I13</f>
        <v>6000000</v>
      </c>
      <c r="I36" s="62"/>
      <c r="J36" s="55"/>
      <c r="K36" s="16" t="s">
        <v>610</v>
      </c>
      <c r="L36" s="13"/>
      <c r="M36" s="29">
        <f>+I3</f>
        <v>30000000</v>
      </c>
      <c r="N36" s="63">
        <f>+I4+1</f>
        <v>1.02</v>
      </c>
      <c r="O36" s="36">
        <f>+ROUND(-M36*N36,0)</f>
        <v>-30600000</v>
      </c>
    </row>
    <row r="37" spans="2:17" x14ac:dyDescent="0.25">
      <c r="B37" s="2"/>
      <c r="C37" s="16" t="str">
        <f t="shared" si="3"/>
        <v>Acciones</v>
      </c>
      <c r="H37" s="29">
        <f>+I14</f>
        <v>5000000</v>
      </c>
      <c r="I37" s="102"/>
      <c r="K37" s="16" t="s">
        <v>526</v>
      </c>
      <c r="O37" s="65">
        <f>-E64</f>
        <v>-6000000</v>
      </c>
    </row>
    <row r="38" spans="2:17" x14ac:dyDescent="0.25">
      <c r="C38" s="16" t="str">
        <f t="shared" si="3"/>
        <v>Cuenta Particular</v>
      </c>
      <c r="H38" s="29"/>
      <c r="I38" s="102"/>
      <c r="K38" s="49" t="s">
        <v>527</v>
      </c>
      <c r="L38" s="31"/>
      <c r="M38" s="31"/>
      <c r="N38" s="32"/>
      <c r="O38" s="50">
        <f>SUM(O34:O37)</f>
        <v>14000000</v>
      </c>
    </row>
    <row r="39" spans="2:17" x14ac:dyDescent="0.25">
      <c r="C39" s="66" t="s">
        <v>528</v>
      </c>
      <c r="D39" s="14"/>
      <c r="E39" s="14"/>
      <c r="F39" s="61"/>
      <c r="G39" s="14"/>
      <c r="H39" s="29"/>
      <c r="I39" s="67">
        <f>SUM(H40)</f>
        <v>-2000000</v>
      </c>
    </row>
    <row r="40" spans="2:17" x14ac:dyDescent="0.25">
      <c r="B40" s="2"/>
      <c r="C40" s="16" t="s">
        <v>530</v>
      </c>
      <c r="D40" s="14"/>
      <c r="E40" s="14"/>
      <c r="F40" s="61"/>
      <c r="G40" s="14"/>
      <c r="H40" s="29">
        <f>+I16</f>
        <v>-2000000</v>
      </c>
      <c r="I40" s="62"/>
    </row>
    <row r="41" spans="2:17" ht="15.75" thickBot="1" x14ac:dyDescent="0.3">
      <c r="B41" s="2"/>
      <c r="C41" s="69" t="s">
        <v>625</v>
      </c>
      <c r="D41" s="70"/>
      <c r="E41" s="70"/>
      <c r="F41" s="71"/>
      <c r="G41" s="70"/>
      <c r="H41" s="70"/>
      <c r="I41" s="72">
        <f>SUM(I32:I40)</f>
        <v>42600000</v>
      </c>
      <c r="K41" s="13"/>
      <c r="L41" s="13"/>
    </row>
    <row r="42" spans="2:17" ht="15.75" thickTop="1" x14ac:dyDescent="0.25">
      <c r="B42" s="2"/>
      <c r="C42" s="2"/>
      <c r="D42" s="2"/>
      <c r="E42" s="2"/>
      <c r="F42" s="2"/>
      <c r="G42" s="2"/>
      <c r="H42" s="2"/>
      <c r="I42" s="2"/>
      <c r="J42" s="2"/>
      <c r="M42" s="90" t="s">
        <v>543</v>
      </c>
      <c r="N42" s="90" t="s">
        <v>544</v>
      </c>
      <c r="O42" s="90" t="s">
        <v>545</v>
      </c>
    </row>
    <row r="43" spans="2:17" x14ac:dyDescent="0.25">
      <c r="B43" s="2"/>
      <c r="C43" s="103" t="s">
        <v>430</v>
      </c>
      <c r="K43" s="68" t="s">
        <v>529</v>
      </c>
      <c r="L43" s="7"/>
      <c r="M43" s="34">
        <f>+I3</f>
        <v>30000000</v>
      </c>
      <c r="N43" s="8"/>
      <c r="O43" s="10">
        <f>SUM(M43:N43)</f>
        <v>30000000</v>
      </c>
    </row>
    <row r="44" spans="2:17" x14ac:dyDescent="0.25">
      <c r="C44" s="68" t="s">
        <v>510</v>
      </c>
      <c r="D44" s="8"/>
      <c r="E44" s="8"/>
      <c r="F44" s="8"/>
      <c r="G44" s="8"/>
      <c r="H44" s="8"/>
      <c r="I44" s="35">
        <f>+I3</f>
        <v>30000000</v>
      </c>
      <c r="K44" s="12" t="s">
        <v>531</v>
      </c>
      <c r="L44" s="13"/>
      <c r="M44" s="29">
        <f>+O28</f>
        <v>20000000</v>
      </c>
      <c r="N44" s="94">
        <v>0</v>
      </c>
      <c r="O44" s="18">
        <f t="shared" ref="O44:O46" si="4">SUM(M44:N44)</f>
        <v>20000000</v>
      </c>
    </row>
    <row r="45" spans="2:17" x14ac:dyDescent="0.25">
      <c r="C45" s="12" t="s">
        <v>607</v>
      </c>
      <c r="D45" s="98"/>
      <c r="E45" s="98"/>
      <c r="F45" s="98"/>
      <c r="G45" s="98"/>
      <c r="H45" s="98"/>
      <c r="I45" s="36">
        <f>-O27</f>
        <v>600000</v>
      </c>
      <c r="K45" s="12" t="s">
        <v>532</v>
      </c>
      <c r="N45" s="94">
        <v>0</v>
      </c>
      <c r="O45" s="18">
        <f t="shared" si="4"/>
        <v>0</v>
      </c>
    </row>
    <row r="46" spans="2:17" ht="14.25" customHeight="1" x14ac:dyDescent="0.25">
      <c r="C46" s="12" t="s">
        <v>425</v>
      </c>
      <c r="D46" s="98"/>
      <c r="E46" s="98"/>
      <c r="F46" s="98"/>
      <c r="G46" s="98"/>
      <c r="H46" s="98"/>
      <c r="I46" s="36">
        <f>+O31</f>
        <v>14000000</v>
      </c>
      <c r="K46" s="12" t="s">
        <v>626</v>
      </c>
      <c r="N46" s="94">
        <v>0</v>
      </c>
      <c r="O46" s="18">
        <f t="shared" si="4"/>
        <v>0</v>
      </c>
    </row>
    <row r="47" spans="2:17" ht="14.25" customHeight="1" x14ac:dyDescent="0.25">
      <c r="C47" s="12" t="s">
        <v>427</v>
      </c>
      <c r="D47" s="98"/>
      <c r="E47" s="98"/>
      <c r="F47" s="98"/>
      <c r="G47" s="98"/>
      <c r="H47" s="98"/>
      <c r="I47" s="36">
        <f>-O30</f>
        <v>6000000</v>
      </c>
      <c r="K47" s="12" t="s">
        <v>627</v>
      </c>
      <c r="N47" s="94">
        <v>0</v>
      </c>
      <c r="O47" s="18">
        <f>SUM(M47:N47)</f>
        <v>0</v>
      </c>
      <c r="P47" s="28" t="s">
        <v>628</v>
      </c>
    </row>
    <row r="48" spans="2:17" ht="14.25" customHeight="1" x14ac:dyDescent="0.25">
      <c r="C48" s="12" t="s">
        <v>434</v>
      </c>
      <c r="D48" s="98"/>
      <c r="E48" s="98"/>
      <c r="F48" s="98"/>
      <c r="G48" s="98"/>
      <c r="H48" s="98"/>
      <c r="I48" s="36">
        <f>+I28</f>
        <v>0</v>
      </c>
      <c r="K48" s="73"/>
      <c r="L48" s="22"/>
      <c r="M48" s="75">
        <f>SUM(M43:M44)</f>
        <v>50000000</v>
      </c>
      <c r="N48" s="75">
        <f>SUM(N43:N44)</f>
        <v>0</v>
      </c>
      <c r="O48" s="24">
        <f>SUM(O43:O47)</f>
        <v>50000000</v>
      </c>
      <c r="P48" s="76">
        <v>37540000</v>
      </c>
      <c r="Q48" s="77">
        <f>+P48-O48</f>
        <v>-12460000</v>
      </c>
    </row>
    <row r="49" spans="3:15" ht="14.25" customHeight="1" x14ac:dyDescent="0.25">
      <c r="C49" s="12" t="s">
        <v>426</v>
      </c>
      <c r="D49" s="98"/>
      <c r="E49" s="98"/>
      <c r="F49" s="98"/>
      <c r="G49" s="98"/>
      <c r="H49" s="98"/>
      <c r="I49" s="36">
        <f>-I15</f>
        <v>-8000000</v>
      </c>
      <c r="K49" s="78" t="s">
        <v>552</v>
      </c>
      <c r="L49" s="31"/>
      <c r="M49" s="31"/>
      <c r="N49" s="31"/>
      <c r="O49" s="79">
        <f>-O43</f>
        <v>-30000000</v>
      </c>
    </row>
    <row r="50" spans="3:15" ht="14.25" customHeight="1" x14ac:dyDescent="0.25">
      <c r="C50" s="91" t="s">
        <v>429</v>
      </c>
      <c r="D50" s="31"/>
      <c r="E50" s="31"/>
      <c r="F50" s="31"/>
      <c r="G50" s="31"/>
      <c r="H50" s="31"/>
      <c r="I50" s="74">
        <f>SUM(I44:I49)</f>
        <v>42600000</v>
      </c>
      <c r="O50" s="80">
        <f>SUM(O48:O49)</f>
        <v>20000000</v>
      </c>
    </row>
    <row r="51" spans="3:15" x14ac:dyDescent="0.25">
      <c r="I51" s="4">
        <f>+I50-I41</f>
        <v>0</v>
      </c>
      <c r="M51" s="81" t="s">
        <v>581</v>
      </c>
      <c r="N51" s="35">
        <v>0</v>
      </c>
    </row>
    <row r="52" spans="3:15" ht="15.75" thickBot="1" x14ac:dyDescent="0.3">
      <c r="M52" s="82" t="s">
        <v>583</v>
      </c>
      <c r="N52" s="65">
        <f>+E64</f>
        <v>6000000</v>
      </c>
    </row>
    <row r="53" spans="3:15" x14ac:dyDescent="0.25">
      <c r="C53" s="762" t="s">
        <v>553</v>
      </c>
      <c r="D53" s="763"/>
      <c r="E53" s="768" t="s">
        <v>554</v>
      </c>
      <c r="F53" s="762" t="s">
        <v>555</v>
      </c>
      <c r="G53" s="772"/>
      <c r="H53" s="763"/>
      <c r="I53" s="768" t="s">
        <v>556</v>
      </c>
      <c r="N53" s="83">
        <f>SUM(N51:N52)</f>
        <v>6000000</v>
      </c>
    </row>
    <row r="54" spans="3:15" ht="15.75" thickBot="1" x14ac:dyDescent="0.3">
      <c r="C54" s="764"/>
      <c r="D54" s="765"/>
      <c r="E54" s="769"/>
      <c r="F54" s="766"/>
      <c r="G54" s="773"/>
      <c r="H54" s="767"/>
      <c r="I54" s="769"/>
    </row>
    <row r="55" spans="3:15" x14ac:dyDescent="0.25">
      <c r="C55" s="764"/>
      <c r="D55" s="765"/>
      <c r="E55" s="769"/>
      <c r="F55" s="777" t="s">
        <v>537</v>
      </c>
      <c r="G55" s="778"/>
      <c r="H55" s="781" t="s">
        <v>538</v>
      </c>
      <c r="I55" s="774"/>
    </row>
    <row r="56" spans="3:15" x14ac:dyDescent="0.25">
      <c r="C56" s="764"/>
      <c r="D56" s="765"/>
      <c r="E56" s="769"/>
      <c r="F56" s="779"/>
      <c r="G56" s="780"/>
      <c r="H56" s="781"/>
      <c r="I56" s="774"/>
    </row>
    <row r="57" spans="3:15" ht="38.25" customHeight="1" x14ac:dyDescent="0.25">
      <c r="C57" s="764"/>
      <c r="D57" s="765"/>
      <c r="E57" s="770"/>
      <c r="F57" s="783" t="s">
        <v>435</v>
      </c>
      <c r="G57" s="769"/>
      <c r="H57" s="782"/>
      <c r="I57" s="775"/>
    </row>
    <row r="58" spans="3:15" x14ac:dyDescent="0.25">
      <c r="C58" s="764"/>
      <c r="D58" s="765"/>
      <c r="E58" s="770"/>
      <c r="F58" s="784">
        <v>0.369863</v>
      </c>
      <c r="G58" s="770"/>
      <c r="H58" s="84">
        <v>0.222222</v>
      </c>
      <c r="I58" s="775"/>
    </row>
    <row r="59" spans="3:15" ht="26.25" thickBot="1" x14ac:dyDescent="0.3">
      <c r="C59" s="766"/>
      <c r="D59" s="767"/>
      <c r="E59" s="771"/>
      <c r="F59" s="785" t="s">
        <v>539</v>
      </c>
      <c r="G59" s="771"/>
      <c r="H59" s="85" t="s">
        <v>539</v>
      </c>
      <c r="I59" s="776"/>
    </row>
    <row r="60" spans="3:15" x14ac:dyDescent="0.25">
      <c r="C60" s="757" t="s">
        <v>540</v>
      </c>
      <c r="D60" s="757"/>
      <c r="E60" s="86">
        <f>+O31</f>
        <v>14000000</v>
      </c>
      <c r="F60" s="756"/>
      <c r="G60" s="756"/>
      <c r="H60" s="87"/>
      <c r="I60" s="87"/>
    </row>
    <row r="61" spans="3:15" x14ac:dyDescent="0.25">
      <c r="C61" s="758" t="s">
        <v>541</v>
      </c>
      <c r="D61" s="758"/>
      <c r="E61" s="87">
        <f>-I15</f>
        <v>-8000000</v>
      </c>
      <c r="F61" s="759"/>
      <c r="G61" s="759"/>
      <c r="H61" s="104"/>
      <c r="I61" s="104"/>
    </row>
    <row r="62" spans="3:15" x14ac:dyDescent="0.25">
      <c r="C62" s="755" t="s">
        <v>437</v>
      </c>
      <c r="D62" s="755"/>
      <c r="E62" s="87">
        <v>0</v>
      </c>
      <c r="F62" s="756"/>
      <c r="G62" s="756"/>
      <c r="H62" s="87"/>
      <c r="I62" s="87"/>
    </row>
    <row r="63" spans="3:15" x14ac:dyDescent="0.25">
      <c r="C63" s="760" t="s">
        <v>436</v>
      </c>
      <c r="D63" s="760"/>
      <c r="E63" s="88">
        <v>0</v>
      </c>
      <c r="F63" s="761"/>
      <c r="G63" s="761"/>
      <c r="H63" s="88"/>
      <c r="I63" s="88"/>
      <c r="M63" s="90" t="s">
        <v>543</v>
      </c>
      <c r="N63" s="90" t="s">
        <v>544</v>
      </c>
      <c r="O63" s="90" t="s">
        <v>545</v>
      </c>
    </row>
    <row r="64" spans="3:15" x14ac:dyDescent="0.25">
      <c r="C64" s="752" t="s">
        <v>542</v>
      </c>
      <c r="D64" s="753"/>
      <c r="E64" s="89">
        <f>SUM(E60:E63)</f>
        <v>6000000</v>
      </c>
      <c r="F64" s="754">
        <f>SUM(F60:G63)</f>
        <v>0</v>
      </c>
      <c r="G64" s="754"/>
      <c r="H64" s="89">
        <f>SUM(H60:H63)</f>
        <v>0</v>
      </c>
      <c r="I64" s="89">
        <f>SUM(I60:I63)</f>
        <v>0</v>
      </c>
      <c r="K64" s="68" t="s">
        <v>529</v>
      </c>
      <c r="L64" s="7"/>
      <c r="M64" s="35">
        <f>+I6</f>
        <v>30600000</v>
      </c>
      <c r="N64" s="35">
        <f>+N43</f>
        <v>0</v>
      </c>
      <c r="O64" s="10">
        <f>SUM(M64:N64)</f>
        <v>30600000</v>
      </c>
    </row>
    <row r="65" spans="4:17" x14ac:dyDescent="0.25">
      <c r="D65" s="105">
        <f>+O31</f>
        <v>14000000</v>
      </c>
      <c r="K65" s="12" t="s">
        <v>531</v>
      </c>
      <c r="L65" s="13"/>
      <c r="M65" s="36">
        <f>+M44</f>
        <v>20000000</v>
      </c>
      <c r="N65" s="36">
        <f>+N44</f>
        <v>0</v>
      </c>
      <c r="O65" s="18">
        <f t="shared" ref="O65:O68" si="5">SUM(M65:N65)</f>
        <v>20000000</v>
      </c>
    </row>
    <row r="66" spans="4:17" x14ac:dyDescent="0.25">
      <c r="D66" s="106">
        <v>0.25</v>
      </c>
      <c r="K66" s="12" t="s">
        <v>532</v>
      </c>
      <c r="M66" s="36">
        <f>+M45</f>
        <v>0</v>
      </c>
      <c r="N66" s="36">
        <f>+N45</f>
        <v>0</v>
      </c>
      <c r="O66" s="18">
        <f t="shared" si="5"/>
        <v>0</v>
      </c>
    </row>
    <row r="67" spans="4:17" x14ac:dyDescent="0.25">
      <c r="D67" s="105">
        <f>ROUND(+D65*D66,0)</f>
        <v>3500000</v>
      </c>
      <c r="K67" s="12" t="s">
        <v>626</v>
      </c>
      <c r="M67" s="36">
        <f>+M46</f>
        <v>0</v>
      </c>
      <c r="N67" s="36">
        <f>+N46</f>
        <v>0</v>
      </c>
      <c r="O67" s="18">
        <f t="shared" si="5"/>
        <v>0</v>
      </c>
    </row>
    <row r="68" spans="4:17" x14ac:dyDescent="0.25">
      <c r="K68" s="12" t="s">
        <v>627</v>
      </c>
      <c r="M68" s="36">
        <f>+M47</f>
        <v>0</v>
      </c>
      <c r="N68" s="36">
        <f>+N47</f>
        <v>0</v>
      </c>
      <c r="O68" s="18">
        <f t="shared" si="5"/>
        <v>0</v>
      </c>
      <c r="P68" s="28" t="s">
        <v>628</v>
      </c>
    </row>
    <row r="69" spans="4:17" x14ac:dyDescent="0.25">
      <c r="K69" s="91" t="s">
        <v>546</v>
      </c>
      <c r="L69" s="31"/>
      <c r="M69" s="92">
        <f>SUM(M64:M65)</f>
        <v>50600000</v>
      </c>
      <c r="N69" s="92">
        <f>SUM(N64:N65)</f>
        <v>0</v>
      </c>
      <c r="O69" s="77">
        <f>SUM(O64:O68)</f>
        <v>50600000</v>
      </c>
      <c r="P69" s="76">
        <f>+P48</f>
        <v>37540000</v>
      </c>
      <c r="Q69" s="77">
        <f>+P69-O69</f>
        <v>-13060000</v>
      </c>
    </row>
    <row r="70" spans="4:17" x14ac:dyDescent="0.25">
      <c r="K70" s="78" t="s">
        <v>547</v>
      </c>
      <c r="L70" s="31"/>
      <c r="M70" s="31"/>
      <c r="N70" s="31"/>
      <c r="O70" s="79">
        <f>-O64</f>
        <v>-30600000</v>
      </c>
    </row>
    <row r="71" spans="4:17" x14ac:dyDescent="0.25">
      <c r="O71" s="80">
        <f>SUM(O69:O70)</f>
        <v>20000000</v>
      </c>
    </row>
    <row r="72" spans="4:17" x14ac:dyDescent="0.25">
      <c r="M72" s="81" t="s">
        <v>581</v>
      </c>
      <c r="N72" s="35">
        <v>0</v>
      </c>
    </row>
    <row r="73" spans="4:17" x14ac:dyDescent="0.25">
      <c r="M73" s="82" t="s">
        <v>583</v>
      </c>
      <c r="N73" s="65">
        <f>+E64</f>
        <v>6000000</v>
      </c>
    </row>
    <row r="74" spans="4:17" x14ac:dyDescent="0.25">
      <c r="N74" s="83">
        <f>SUM(N72:N73)</f>
        <v>6000000</v>
      </c>
    </row>
  </sheetData>
  <mergeCells count="19">
    <mergeCell ref="C53:D59"/>
    <mergeCell ref="E53:E59"/>
    <mergeCell ref="F53:H54"/>
    <mergeCell ref="I53:I59"/>
    <mergeCell ref="F55:G56"/>
    <mergeCell ref="H55:H57"/>
    <mergeCell ref="F57:G57"/>
    <mergeCell ref="F58:G58"/>
    <mergeCell ref="F59:G59"/>
    <mergeCell ref="C64:D64"/>
    <mergeCell ref="F64:G64"/>
    <mergeCell ref="C62:D62"/>
    <mergeCell ref="F60:G60"/>
    <mergeCell ref="C60:D60"/>
    <mergeCell ref="F62:G62"/>
    <mergeCell ref="C61:D61"/>
    <mergeCell ref="F61:G61"/>
    <mergeCell ref="C63:D63"/>
    <mergeCell ref="F63:G63"/>
  </mergeCells>
  <phoneticPr fontId="33"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73"/>
  <sheetViews>
    <sheetView showGridLines="0" workbookViewId="0">
      <selection activeCell="G8" sqref="G8"/>
    </sheetView>
  </sheetViews>
  <sheetFormatPr baseColWidth="10" defaultColWidth="11.42578125" defaultRowHeight="15" x14ac:dyDescent="0.25"/>
  <cols>
    <col min="1" max="1" width="11.42578125" style="133"/>
    <col min="2" max="2" width="5" style="133" customWidth="1"/>
    <col min="3" max="3" width="7.140625" style="133" customWidth="1"/>
    <col min="4" max="7" width="11.42578125" style="133"/>
    <col min="8" max="10" width="12.85546875" style="133" customWidth="1"/>
    <col min="11" max="11" width="15.85546875" style="134" customWidth="1"/>
    <col min="12" max="12" width="11.42578125" style="133"/>
    <col min="13" max="13" width="13.42578125" style="133" bestFit="1" customWidth="1"/>
    <col min="14" max="16384" width="11.42578125" style="133"/>
  </cols>
  <sheetData>
    <row r="1" spans="1:20" x14ac:dyDescent="0.25">
      <c r="A1" s="237"/>
      <c r="B1" s="237"/>
      <c r="C1" s="237"/>
      <c r="D1" s="237"/>
      <c r="E1" s="237"/>
      <c r="F1" s="237"/>
      <c r="G1" s="237"/>
      <c r="H1" s="237"/>
      <c r="I1" s="237"/>
      <c r="J1" s="237"/>
      <c r="K1" s="207"/>
      <c r="L1" s="237"/>
    </row>
    <row r="2" spans="1:20" x14ac:dyDescent="0.25">
      <c r="A2" s="237"/>
      <c r="B2" s="238" t="s">
        <v>30</v>
      </c>
      <c r="C2" s="237"/>
      <c r="D2" s="237"/>
      <c r="E2" s="237"/>
      <c r="F2" s="237"/>
      <c r="G2" s="237"/>
      <c r="H2" s="237"/>
      <c r="I2" s="237"/>
      <c r="J2" s="237"/>
      <c r="K2" s="207"/>
      <c r="L2" s="237"/>
      <c r="T2" s="135"/>
    </row>
    <row r="3" spans="1:20" x14ac:dyDescent="0.25">
      <c r="A3" s="237"/>
      <c r="B3" s="237"/>
      <c r="C3" s="237"/>
      <c r="D3" s="237"/>
      <c r="E3" s="237"/>
      <c r="F3" s="237"/>
      <c r="G3" s="237"/>
      <c r="H3" s="237"/>
      <c r="I3" s="237"/>
      <c r="J3" s="237"/>
      <c r="K3" s="207"/>
      <c r="L3" s="237"/>
      <c r="O3" s="135"/>
      <c r="P3" s="135"/>
      <c r="Q3" s="135"/>
      <c r="R3" s="135"/>
      <c r="S3" s="135"/>
      <c r="T3" s="135"/>
    </row>
    <row r="4" spans="1:20" s="136" customFormat="1" ht="12.75" x14ac:dyDescent="0.2">
      <c r="A4" s="237"/>
      <c r="B4" s="237" t="s">
        <v>629</v>
      </c>
      <c r="C4" s="237"/>
      <c r="D4" s="237"/>
      <c r="E4" s="237"/>
      <c r="F4" s="237"/>
      <c r="G4" s="237"/>
      <c r="H4" s="237"/>
      <c r="I4" s="237"/>
      <c r="J4" s="237"/>
      <c r="K4" s="239" t="s">
        <v>111</v>
      </c>
      <c r="L4" s="237"/>
      <c r="O4" s="137"/>
      <c r="P4" s="137"/>
      <c r="Q4" s="137"/>
      <c r="R4" s="137"/>
      <c r="S4" s="137"/>
      <c r="T4" s="137"/>
    </row>
    <row r="5" spans="1:20" s="136" customFormat="1" ht="12.75" x14ac:dyDescent="0.2">
      <c r="A5" s="237"/>
      <c r="B5" s="237" t="s">
        <v>28</v>
      </c>
      <c r="C5" s="237"/>
      <c r="D5" s="237"/>
      <c r="E5" s="237"/>
      <c r="F5" s="237"/>
      <c r="G5" s="237"/>
      <c r="H5" s="237"/>
      <c r="I5" s="237"/>
      <c r="J5" s="237"/>
      <c r="K5" s="240">
        <v>8500</v>
      </c>
      <c r="L5" s="237"/>
      <c r="O5" s="137"/>
      <c r="P5" s="137"/>
      <c r="Q5" s="137"/>
      <c r="R5" s="137"/>
      <c r="S5" s="137"/>
      <c r="T5" s="137"/>
    </row>
    <row r="6" spans="1:20" s="136" customFormat="1" ht="12.75" x14ac:dyDescent="0.2">
      <c r="A6" s="237"/>
      <c r="B6" s="237" t="s">
        <v>29</v>
      </c>
      <c r="C6" s="237"/>
      <c r="D6" s="237"/>
      <c r="E6" s="237"/>
      <c r="F6" s="237"/>
      <c r="G6" s="237"/>
      <c r="H6" s="237"/>
      <c r="I6" s="237"/>
      <c r="J6" s="237"/>
      <c r="K6" s="241">
        <v>753.67</v>
      </c>
      <c r="L6" s="237"/>
      <c r="O6" s="137"/>
      <c r="P6" s="137"/>
      <c r="Q6" s="137"/>
      <c r="R6" s="137"/>
      <c r="S6" s="137"/>
      <c r="T6" s="137"/>
    </row>
    <row r="7" spans="1:20" s="136" customFormat="1" ht="12.75" x14ac:dyDescent="0.2">
      <c r="A7" s="237"/>
      <c r="B7" s="244" t="s">
        <v>570</v>
      </c>
      <c r="C7" s="237"/>
      <c r="D7" s="237"/>
      <c r="E7" s="237"/>
      <c r="F7" s="237"/>
      <c r="G7" s="237"/>
      <c r="H7" s="237"/>
      <c r="I7" s="237"/>
      <c r="J7" s="237"/>
      <c r="K7" s="160">
        <v>0.15</v>
      </c>
      <c r="L7" s="237"/>
      <c r="O7" s="137"/>
      <c r="P7" s="137"/>
      <c r="Q7" s="137"/>
      <c r="R7" s="137"/>
      <c r="S7" s="137"/>
      <c r="T7" s="137"/>
    </row>
    <row r="8" spans="1:20" s="136" customFormat="1" ht="12.75" x14ac:dyDescent="0.2">
      <c r="A8" s="237"/>
      <c r="B8" s="237" t="s">
        <v>184</v>
      </c>
      <c r="C8" s="237"/>
      <c r="D8" s="237"/>
      <c r="E8" s="237"/>
      <c r="F8" s="237"/>
      <c r="G8" s="237"/>
      <c r="H8" s="237"/>
      <c r="I8" s="237"/>
      <c r="J8" s="237"/>
      <c r="K8" s="160">
        <v>0.32</v>
      </c>
      <c r="L8" s="237"/>
      <c r="O8" s="137"/>
      <c r="P8" s="137"/>
      <c r="Q8" s="137"/>
      <c r="R8" s="137"/>
      <c r="S8" s="137"/>
      <c r="T8" s="137"/>
    </row>
    <row r="9" spans="1:20" x14ac:dyDescent="0.25">
      <c r="A9" s="237"/>
      <c r="B9" s="237"/>
      <c r="C9" s="237"/>
      <c r="D9" s="237"/>
      <c r="E9" s="237"/>
      <c r="F9" s="237"/>
      <c r="G9" s="237"/>
      <c r="H9" s="237"/>
      <c r="I9" s="237"/>
      <c r="J9" s="237"/>
      <c r="K9" s="242"/>
      <c r="L9" s="237"/>
      <c r="O9" s="135"/>
      <c r="P9" s="135"/>
      <c r="Q9" s="135"/>
      <c r="R9" s="135"/>
      <c r="S9" s="135"/>
      <c r="T9" s="135"/>
    </row>
    <row r="10" spans="1:20" x14ac:dyDescent="0.25">
      <c r="A10" s="237"/>
      <c r="B10" s="237"/>
      <c r="C10" s="237"/>
      <c r="D10" s="237"/>
      <c r="E10" s="237"/>
      <c r="F10" s="237"/>
      <c r="G10" s="237"/>
      <c r="H10" s="237"/>
      <c r="I10" s="237"/>
      <c r="J10" s="237"/>
      <c r="K10" s="242"/>
      <c r="L10" s="237"/>
      <c r="O10" s="135"/>
      <c r="P10" s="135"/>
      <c r="Q10" s="135"/>
      <c r="R10" s="135"/>
      <c r="S10" s="135"/>
      <c r="T10" s="135"/>
    </row>
    <row r="11" spans="1:20" x14ac:dyDescent="0.25">
      <c r="A11" s="237"/>
      <c r="B11" s="238" t="s">
        <v>55</v>
      </c>
      <c r="C11" s="237"/>
      <c r="D11" s="237"/>
      <c r="E11" s="237"/>
      <c r="F11" s="237"/>
      <c r="G11" s="237"/>
      <c r="H11" s="237"/>
      <c r="I11" s="237"/>
      <c r="J11" s="237"/>
      <c r="K11" s="207"/>
      <c r="L11" s="237"/>
      <c r="O11" s="135"/>
      <c r="P11" s="135"/>
      <c r="Q11" s="135"/>
      <c r="R11" s="135"/>
      <c r="S11" s="135"/>
      <c r="T11" s="135"/>
    </row>
    <row r="12" spans="1:20" x14ac:dyDescent="0.25">
      <c r="A12" s="237"/>
      <c r="B12" s="237"/>
      <c r="C12" s="237"/>
      <c r="D12" s="237"/>
      <c r="E12" s="237"/>
      <c r="F12" s="237"/>
      <c r="G12" s="237"/>
      <c r="H12" s="237"/>
      <c r="I12" s="237"/>
      <c r="J12" s="237"/>
      <c r="K12" s="207"/>
      <c r="L12" s="237"/>
      <c r="O12" s="135"/>
      <c r="P12" s="135"/>
      <c r="Q12" s="135"/>
      <c r="R12" s="135"/>
      <c r="S12" s="135"/>
      <c r="T12" s="135"/>
    </row>
    <row r="13" spans="1:20" x14ac:dyDescent="0.25">
      <c r="A13" s="237"/>
      <c r="B13" s="238" t="s">
        <v>46</v>
      </c>
      <c r="C13" s="237"/>
      <c r="D13" s="237"/>
      <c r="E13" s="237"/>
      <c r="F13" s="237"/>
      <c r="G13" s="237"/>
      <c r="H13" s="237"/>
      <c r="I13" s="237"/>
      <c r="J13" s="237"/>
      <c r="K13" s="207"/>
      <c r="L13" s="237"/>
      <c r="O13" s="135"/>
      <c r="P13" s="135"/>
      <c r="Q13" s="135"/>
      <c r="R13" s="135"/>
      <c r="S13" s="135"/>
      <c r="T13" s="135"/>
    </row>
    <row r="14" spans="1:20" x14ac:dyDescent="0.25">
      <c r="A14" s="237"/>
      <c r="B14" s="237"/>
      <c r="C14" s="237"/>
      <c r="D14" s="237"/>
      <c r="E14" s="237"/>
      <c r="F14" s="237"/>
      <c r="G14" s="237"/>
      <c r="H14" s="237"/>
      <c r="I14" s="237"/>
      <c r="J14" s="237"/>
      <c r="K14" s="207"/>
      <c r="L14" s="237"/>
      <c r="O14" s="135"/>
      <c r="P14" s="135"/>
      <c r="Q14" s="135"/>
      <c r="R14" s="135"/>
      <c r="S14" s="135"/>
      <c r="T14" s="135"/>
    </row>
    <row r="15" spans="1:20" s="136" customFormat="1" ht="12.75" x14ac:dyDescent="0.2">
      <c r="A15" s="237"/>
      <c r="B15" s="238" t="s">
        <v>185</v>
      </c>
      <c r="C15" s="237"/>
      <c r="D15" s="237"/>
      <c r="E15" s="237"/>
      <c r="F15" s="237"/>
      <c r="G15" s="237"/>
      <c r="H15" s="237"/>
      <c r="I15" s="237"/>
      <c r="J15" s="240"/>
      <c r="K15" s="243">
        <f>SUM(J16:J18)</f>
        <v>6406195</v>
      </c>
      <c r="L15" s="237"/>
      <c r="O15" s="137"/>
      <c r="P15" s="137"/>
      <c r="Q15" s="137"/>
      <c r="R15" s="137"/>
      <c r="S15" s="137"/>
      <c r="T15" s="137"/>
    </row>
    <row r="16" spans="1:20" s="136" customFormat="1" ht="12.75" x14ac:dyDescent="0.2">
      <c r="A16" s="237"/>
      <c r="B16" s="237"/>
      <c r="C16" s="237" t="s">
        <v>75</v>
      </c>
      <c r="D16" s="237"/>
      <c r="E16" s="237"/>
      <c r="F16" s="237"/>
      <c r="G16" s="237"/>
      <c r="H16" s="240"/>
      <c r="I16" s="237"/>
      <c r="J16" s="207">
        <f>ROUND(K5*K6,0)</f>
        <v>6406195</v>
      </c>
      <c r="K16" s="207"/>
      <c r="L16" s="237"/>
      <c r="O16" s="137"/>
      <c r="P16" s="137"/>
      <c r="Q16" s="137"/>
      <c r="R16" s="137"/>
      <c r="S16" s="137"/>
      <c r="T16" s="137"/>
    </row>
    <row r="17" spans="1:20" s="136" customFormat="1" ht="12.75" x14ac:dyDescent="0.2">
      <c r="A17" s="237"/>
      <c r="B17" s="237"/>
      <c r="C17" s="237" t="s">
        <v>186</v>
      </c>
      <c r="D17" s="237"/>
      <c r="E17" s="237"/>
      <c r="F17" s="237"/>
      <c r="G17" s="237"/>
      <c r="H17" s="237"/>
      <c r="I17" s="237"/>
      <c r="J17" s="207">
        <v>0</v>
      </c>
      <c r="K17" s="207"/>
      <c r="L17" s="237"/>
      <c r="O17" s="137"/>
      <c r="P17" s="137"/>
      <c r="Q17" s="137"/>
      <c r="R17" s="137"/>
      <c r="S17" s="137"/>
      <c r="T17" s="137"/>
    </row>
    <row r="18" spans="1:20" s="136" customFormat="1" ht="12.75" x14ac:dyDescent="0.2">
      <c r="A18" s="237"/>
      <c r="B18" s="237"/>
      <c r="C18" s="598" t="s">
        <v>115</v>
      </c>
      <c r="D18" s="598"/>
      <c r="E18" s="598"/>
      <c r="F18" s="598"/>
      <c r="G18" s="598"/>
      <c r="H18" s="598"/>
      <c r="I18" s="598"/>
      <c r="J18" s="245">
        <v>0</v>
      </c>
      <c r="K18" s="207"/>
      <c r="L18" s="237"/>
      <c r="O18" s="137"/>
      <c r="P18" s="137"/>
      <c r="Q18" s="137"/>
      <c r="R18" s="137"/>
      <c r="S18" s="137"/>
      <c r="T18" s="137"/>
    </row>
    <row r="19" spans="1:20" s="136" customFormat="1" ht="12.75" x14ac:dyDescent="0.2">
      <c r="A19" s="237"/>
      <c r="B19" s="237"/>
      <c r="C19" s="237"/>
      <c r="D19" s="237"/>
      <c r="E19" s="237"/>
      <c r="F19" s="237"/>
      <c r="G19" s="237"/>
      <c r="H19" s="237"/>
      <c r="I19" s="237"/>
      <c r="J19" s="240"/>
      <c r="K19" s="207"/>
      <c r="L19" s="237"/>
      <c r="O19" s="137"/>
      <c r="P19" s="137"/>
      <c r="Q19" s="137"/>
      <c r="R19" s="137"/>
      <c r="S19" s="137"/>
      <c r="T19" s="137"/>
    </row>
    <row r="20" spans="1:20" s="136" customFormat="1" ht="12.75" x14ac:dyDescent="0.2">
      <c r="A20" s="237"/>
      <c r="B20" s="238" t="s">
        <v>116</v>
      </c>
      <c r="C20" s="237"/>
      <c r="D20" s="237"/>
      <c r="E20" s="237"/>
      <c r="F20" s="237"/>
      <c r="G20" s="237"/>
      <c r="H20" s="237"/>
      <c r="I20" s="237"/>
      <c r="J20" s="240"/>
      <c r="K20" s="243">
        <f>MIN(J21:J25)</f>
        <v>3879184</v>
      </c>
      <c r="L20" s="237"/>
      <c r="O20" s="137"/>
      <c r="P20" s="137"/>
      <c r="Q20" s="137"/>
      <c r="R20" s="137"/>
      <c r="S20" s="137"/>
      <c r="T20" s="137"/>
    </row>
    <row r="21" spans="1:20" s="136" customFormat="1" ht="12.75" x14ac:dyDescent="0.2">
      <c r="A21" s="237"/>
      <c r="B21" s="237"/>
      <c r="C21" s="237" t="s">
        <v>117</v>
      </c>
      <c r="D21" s="237"/>
      <c r="E21" s="237"/>
      <c r="F21" s="237"/>
      <c r="G21" s="237"/>
      <c r="H21" s="237"/>
      <c r="I21" s="240"/>
      <c r="J21" s="207">
        <f>SUM(I22:I23)</f>
        <v>4677187</v>
      </c>
      <c r="K21" s="207"/>
      <c r="L21" s="237"/>
      <c r="O21" s="137"/>
      <c r="P21" s="137"/>
      <c r="Q21" s="137"/>
      <c r="R21" s="137"/>
      <c r="S21" s="137"/>
      <c r="T21" s="137"/>
    </row>
    <row r="22" spans="1:20" s="136" customFormat="1" ht="12.75" x14ac:dyDescent="0.2">
      <c r="A22" s="237"/>
      <c r="B22" s="237"/>
      <c r="C22" s="237"/>
      <c r="D22" s="237" t="s">
        <v>76</v>
      </c>
      <c r="E22" s="237"/>
      <c r="F22" s="237"/>
      <c r="G22" s="237"/>
      <c r="H22" s="237"/>
      <c r="I22" s="207">
        <f>ROUND(K5*K6/(1-K7)*K7,0)</f>
        <v>1130505</v>
      </c>
      <c r="J22" s="240"/>
      <c r="K22" s="207"/>
      <c r="L22" s="237"/>
      <c r="O22" s="137"/>
      <c r="P22" s="137"/>
      <c r="Q22" s="137"/>
      <c r="R22" s="137"/>
      <c r="S22" s="137"/>
      <c r="T22" s="137"/>
    </row>
    <row r="23" spans="1:20" s="136" customFormat="1" ht="12.75" x14ac:dyDescent="0.2">
      <c r="A23" s="237"/>
      <c r="B23" s="237"/>
      <c r="C23" s="237"/>
      <c r="D23" s="237" t="s">
        <v>77</v>
      </c>
      <c r="E23" s="237"/>
      <c r="F23" s="237"/>
      <c r="G23" s="237"/>
      <c r="H23" s="237"/>
      <c r="I23" s="207">
        <f>ROUND((K5*K6/(1-K7))/(1-K8)*K8,0)</f>
        <v>3546682</v>
      </c>
      <c r="J23" s="240"/>
      <c r="K23" s="207"/>
      <c r="L23" s="237"/>
      <c r="O23" s="137"/>
      <c r="P23" s="137"/>
      <c r="Q23" s="137"/>
      <c r="R23" s="137"/>
      <c r="S23" s="137"/>
      <c r="T23" s="137"/>
    </row>
    <row r="24" spans="1:20" s="136" customFormat="1" ht="12.75" x14ac:dyDescent="0.2">
      <c r="A24" s="237"/>
      <c r="B24" s="237"/>
      <c r="C24" s="237"/>
      <c r="D24" s="237"/>
      <c r="E24" s="237"/>
      <c r="F24" s="237"/>
      <c r="G24" s="237"/>
      <c r="H24" s="237"/>
      <c r="I24" s="240"/>
      <c r="J24" s="240"/>
      <c r="K24" s="207"/>
      <c r="L24" s="237"/>
      <c r="O24" s="137"/>
      <c r="P24" s="137"/>
      <c r="Q24" s="137"/>
      <c r="R24" s="137"/>
      <c r="S24" s="137"/>
    </row>
    <row r="25" spans="1:20" s="136" customFormat="1" ht="12.75" x14ac:dyDescent="0.2">
      <c r="A25" s="237"/>
      <c r="B25" s="237"/>
      <c r="C25" s="237" t="s">
        <v>78</v>
      </c>
      <c r="D25" s="237"/>
      <c r="E25" s="237"/>
      <c r="F25" s="237"/>
      <c r="G25" s="237"/>
      <c r="H25" s="237"/>
      <c r="I25" s="240"/>
      <c r="J25" s="207">
        <f>ROUND((J16+J21)*0.35,0)</f>
        <v>3879184</v>
      </c>
      <c r="K25" s="207"/>
      <c r="L25" s="237"/>
      <c r="M25" s="137"/>
    </row>
    <row r="26" spans="1:20" s="136" customFormat="1" ht="12.75" x14ac:dyDescent="0.2">
      <c r="A26" s="237"/>
      <c r="B26" s="237"/>
      <c r="C26" s="237"/>
      <c r="D26" s="237"/>
      <c r="E26" s="237"/>
      <c r="F26" s="237"/>
      <c r="G26" s="237"/>
      <c r="H26" s="237"/>
      <c r="I26" s="237"/>
      <c r="J26" s="240"/>
      <c r="K26" s="207"/>
      <c r="L26" s="237"/>
    </row>
    <row r="27" spans="1:20" s="136" customFormat="1" ht="12.75" x14ac:dyDescent="0.2">
      <c r="A27" s="237"/>
      <c r="B27" s="237"/>
      <c r="C27" s="237"/>
      <c r="D27" s="237"/>
      <c r="E27" s="240"/>
      <c r="F27" s="237"/>
      <c r="G27" s="237"/>
      <c r="H27" s="237"/>
      <c r="I27" s="237"/>
      <c r="J27" s="240"/>
      <c r="K27" s="207"/>
      <c r="L27" s="237"/>
    </row>
    <row r="28" spans="1:20" s="136" customFormat="1" ht="12.75" x14ac:dyDescent="0.2">
      <c r="A28" s="237"/>
      <c r="B28" s="238" t="s">
        <v>56</v>
      </c>
      <c r="C28" s="237"/>
      <c r="D28" s="237"/>
      <c r="E28" s="237"/>
      <c r="F28" s="237"/>
      <c r="G28" s="237"/>
      <c r="H28" s="237"/>
      <c r="I28" s="207">
        <f>SUM(H29:H30)</f>
        <v>10285379</v>
      </c>
      <c r="J28" s="246" t="s">
        <v>118</v>
      </c>
      <c r="K28" s="243">
        <f>ROUND(I28*35%,0)</f>
        <v>3599883</v>
      </c>
      <c r="L28" s="237"/>
    </row>
    <row r="29" spans="1:20" s="136" customFormat="1" ht="12.75" x14ac:dyDescent="0.2">
      <c r="A29" s="237"/>
      <c r="B29" s="237"/>
      <c r="C29" s="237" t="s">
        <v>119</v>
      </c>
      <c r="D29" s="237"/>
      <c r="E29" s="237"/>
      <c r="F29" s="237"/>
      <c r="G29" s="237"/>
      <c r="H29" s="207">
        <f>K15</f>
        <v>6406195</v>
      </c>
      <c r="I29" s="237"/>
      <c r="J29" s="240"/>
      <c r="K29" s="207"/>
      <c r="L29" s="237"/>
    </row>
    <row r="30" spans="1:20" s="136" customFormat="1" ht="12.75" x14ac:dyDescent="0.2">
      <c r="A30" s="237"/>
      <c r="B30" s="237"/>
      <c r="C30" s="244" t="s">
        <v>571</v>
      </c>
      <c r="D30" s="237"/>
      <c r="E30" s="237"/>
      <c r="F30" s="237"/>
      <c r="G30" s="237"/>
      <c r="H30" s="245">
        <f>MIN(J21,K20)</f>
        <v>3879184</v>
      </c>
      <c r="I30" s="237"/>
      <c r="J30" s="240"/>
      <c r="K30" s="207"/>
      <c r="L30" s="237"/>
    </row>
    <row r="31" spans="1:20" s="136" customFormat="1" ht="12.75" x14ac:dyDescent="0.2">
      <c r="A31" s="237"/>
      <c r="B31" s="237"/>
      <c r="C31" s="237"/>
      <c r="D31" s="237"/>
      <c r="E31" s="237"/>
      <c r="F31" s="237"/>
      <c r="G31" s="237"/>
      <c r="H31" s="237"/>
      <c r="I31" s="237"/>
      <c r="J31" s="240"/>
      <c r="K31" s="207"/>
      <c r="L31" s="237"/>
    </row>
    <row r="32" spans="1:20" s="136" customFormat="1" ht="12.75" x14ac:dyDescent="0.2">
      <c r="A32" s="237"/>
      <c r="B32" s="238" t="s">
        <v>120</v>
      </c>
      <c r="C32" s="237"/>
      <c r="D32" s="237"/>
      <c r="E32" s="237"/>
      <c r="F32" s="237"/>
      <c r="G32" s="237"/>
      <c r="H32" s="237"/>
      <c r="I32" s="237"/>
      <c r="J32" s="240"/>
      <c r="K32" s="243">
        <f>SUM(J33:J34)</f>
        <v>10006078</v>
      </c>
      <c r="L32" s="237"/>
      <c r="M32" s="137"/>
    </row>
    <row r="33" spans="1:12" s="136" customFormat="1" ht="12.75" x14ac:dyDescent="0.2">
      <c r="A33" s="237"/>
      <c r="B33" s="237"/>
      <c r="C33" s="237" t="s">
        <v>121</v>
      </c>
      <c r="D33" s="237"/>
      <c r="E33" s="237"/>
      <c r="F33" s="237"/>
      <c r="G33" s="237"/>
      <c r="H33" s="237"/>
      <c r="I33" s="237"/>
      <c r="J33" s="207">
        <f>K15</f>
        <v>6406195</v>
      </c>
      <c r="K33" s="207"/>
      <c r="L33" s="237"/>
    </row>
    <row r="34" spans="1:12" s="136" customFormat="1" ht="12.75" x14ac:dyDescent="0.2">
      <c r="A34" s="237"/>
      <c r="B34" s="237"/>
      <c r="C34" s="237" t="s">
        <v>122</v>
      </c>
      <c r="D34" s="237"/>
      <c r="E34" s="237"/>
      <c r="F34" s="237"/>
      <c r="G34" s="237"/>
      <c r="H34" s="237"/>
      <c r="I34" s="237"/>
      <c r="J34" s="245">
        <f>K28</f>
        <v>3599883</v>
      </c>
      <c r="K34" s="207"/>
      <c r="L34" s="237"/>
    </row>
    <row r="35" spans="1:12" s="136" customFormat="1" ht="12.75" x14ac:dyDescent="0.2">
      <c r="A35" s="237"/>
      <c r="B35" s="237"/>
      <c r="C35" s="237"/>
      <c r="D35" s="237"/>
      <c r="E35" s="237"/>
      <c r="F35" s="237"/>
      <c r="G35" s="237"/>
      <c r="H35" s="237"/>
      <c r="I35" s="237"/>
      <c r="J35" s="240"/>
      <c r="K35" s="207"/>
      <c r="L35" s="237"/>
    </row>
    <row r="36" spans="1:12" s="136" customFormat="1" ht="12.75" x14ac:dyDescent="0.2">
      <c r="A36" s="237"/>
      <c r="B36" s="238" t="s">
        <v>52</v>
      </c>
      <c r="C36" s="237"/>
      <c r="D36" s="237"/>
      <c r="E36" s="237"/>
      <c r="F36" s="237"/>
      <c r="G36" s="237"/>
      <c r="H36" s="237"/>
      <c r="I36" s="237"/>
      <c r="J36" s="240"/>
      <c r="K36" s="243">
        <f>MIN(J37:J38)</f>
        <v>3599883</v>
      </c>
      <c r="L36" s="237"/>
    </row>
    <row r="37" spans="1:12" s="136" customFormat="1" ht="12.75" x14ac:dyDescent="0.2">
      <c r="A37" s="237"/>
      <c r="B37" s="237"/>
      <c r="C37" s="237" t="s">
        <v>53</v>
      </c>
      <c r="D37" s="237"/>
      <c r="E37" s="237"/>
      <c r="F37" s="237"/>
      <c r="G37" s="237"/>
      <c r="H37" s="237"/>
      <c r="I37" s="237"/>
      <c r="J37" s="207">
        <f>K20</f>
        <v>3879184</v>
      </c>
      <c r="K37" s="207"/>
      <c r="L37" s="237"/>
    </row>
    <row r="38" spans="1:12" s="136" customFormat="1" ht="12.75" x14ac:dyDescent="0.2">
      <c r="A38" s="237"/>
      <c r="B38" s="237"/>
      <c r="C38" s="237" t="s">
        <v>54</v>
      </c>
      <c r="D38" s="237"/>
      <c r="E38" s="237"/>
      <c r="F38" s="237"/>
      <c r="G38" s="237"/>
      <c r="H38" s="237"/>
      <c r="I38" s="237"/>
      <c r="J38" s="207">
        <f>K28</f>
        <v>3599883</v>
      </c>
      <c r="K38" s="207"/>
      <c r="L38" s="237"/>
    </row>
    <row r="39" spans="1:12" x14ac:dyDescent="0.25">
      <c r="A39" s="237"/>
      <c r="B39" s="237"/>
      <c r="C39" s="237"/>
      <c r="D39" s="237"/>
      <c r="E39" s="237"/>
      <c r="F39" s="237"/>
      <c r="G39" s="237"/>
      <c r="H39" s="237"/>
      <c r="I39" s="237"/>
      <c r="J39" s="240"/>
      <c r="K39" s="207"/>
      <c r="L39" s="237"/>
    </row>
    <row r="40" spans="1:12" x14ac:dyDescent="0.25">
      <c r="A40" s="237"/>
      <c r="B40" s="238" t="s">
        <v>47</v>
      </c>
      <c r="C40" s="237"/>
      <c r="D40" s="237"/>
      <c r="E40" s="237"/>
      <c r="F40" s="237"/>
      <c r="G40" s="237"/>
      <c r="H40" s="237"/>
      <c r="I40" s="237"/>
      <c r="J40" s="240"/>
      <c r="K40" s="207"/>
      <c r="L40" s="237"/>
    </row>
    <row r="41" spans="1:12" x14ac:dyDescent="0.25">
      <c r="A41" s="237"/>
      <c r="B41" s="237"/>
      <c r="C41" s="237"/>
      <c r="D41" s="237"/>
      <c r="E41" s="237"/>
      <c r="F41" s="237"/>
      <c r="G41" s="237"/>
      <c r="H41" s="237"/>
      <c r="I41" s="237"/>
      <c r="J41" s="240"/>
      <c r="K41" s="207"/>
      <c r="L41" s="237"/>
    </row>
    <row r="42" spans="1:12" s="136" customFormat="1" ht="12.75" x14ac:dyDescent="0.2">
      <c r="A42" s="237"/>
      <c r="B42" s="238" t="s">
        <v>150</v>
      </c>
      <c r="C42" s="237"/>
      <c r="D42" s="237"/>
      <c r="E42" s="237"/>
      <c r="F42" s="237"/>
      <c r="G42" s="237"/>
      <c r="H42" s="237"/>
      <c r="I42" s="237"/>
      <c r="J42" s="247"/>
      <c r="K42" s="207"/>
      <c r="L42" s="237"/>
    </row>
    <row r="43" spans="1:12" s="136" customFormat="1" ht="12.75" x14ac:dyDescent="0.2">
      <c r="A43" s="237"/>
      <c r="B43" s="237"/>
      <c r="C43" s="237" t="s">
        <v>79</v>
      </c>
      <c r="D43" s="237"/>
      <c r="E43" s="237"/>
      <c r="F43" s="237"/>
      <c r="G43" s="237"/>
      <c r="H43" s="237"/>
      <c r="I43" s="237"/>
      <c r="J43" s="237"/>
      <c r="K43" s="242">
        <f>ROUND(K32*10%,0)</f>
        <v>1000608</v>
      </c>
      <c r="L43" s="237"/>
    </row>
    <row r="44" spans="1:12" s="136" customFormat="1" ht="12.75" x14ac:dyDescent="0.2">
      <c r="A44" s="237"/>
      <c r="B44" s="237"/>
      <c r="C44" s="237"/>
      <c r="D44" s="237"/>
      <c r="E44" s="237"/>
      <c r="F44" s="237"/>
      <c r="G44" s="237"/>
      <c r="H44" s="237"/>
      <c r="I44" s="237"/>
      <c r="J44" s="237"/>
      <c r="K44" s="207"/>
      <c r="L44" s="237"/>
    </row>
    <row r="45" spans="1:12" s="136" customFormat="1" ht="12.75" x14ac:dyDescent="0.2">
      <c r="A45" s="237"/>
      <c r="B45" s="238" t="s">
        <v>151</v>
      </c>
      <c r="C45" s="237"/>
      <c r="D45" s="237"/>
      <c r="E45" s="237"/>
      <c r="F45" s="237"/>
      <c r="G45" s="237"/>
      <c r="H45" s="237"/>
      <c r="I45" s="237"/>
      <c r="J45" s="237"/>
      <c r="K45" s="207"/>
      <c r="L45" s="237"/>
    </row>
    <row r="46" spans="1:12" s="136" customFormat="1" ht="12.75" x14ac:dyDescent="0.2">
      <c r="A46" s="237"/>
      <c r="B46" s="237"/>
      <c r="C46" s="237" t="s">
        <v>27</v>
      </c>
      <c r="D46" s="237"/>
      <c r="E46" s="237"/>
      <c r="F46" s="237"/>
      <c r="G46" s="237"/>
      <c r="H46" s="237"/>
      <c r="I46" s="237"/>
      <c r="J46" s="237"/>
      <c r="K46" s="207">
        <f>K36-K43</f>
        <v>2599275</v>
      </c>
      <c r="L46" s="237"/>
    </row>
    <row r="47" spans="1:12" x14ac:dyDescent="0.25">
      <c r="A47" s="237"/>
      <c r="B47" s="237"/>
      <c r="C47" s="237"/>
      <c r="D47" s="237"/>
      <c r="E47" s="237"/>
      <c r="F47" s="237"/>
      <c r="G47" s="237"/>
      <c r="H47" s="237"/>
      <c r="I47" s="237"/>
      <c r="J47" s="237"/>
      <c r="K47" s="207"/>
      <c r="L47" s="237"/>
    </row>
    <row r="48" spans="1:12" x14ac:dyDescent="0.25">
      <c r="A48" s="237"/>
      <c r="B48" s="237"/>
      <c r="C48" s="237"/>
      <c r="D48" s="237"/>
      <c r="E48" s="237"/>
      <c r="F48" s="240"/>
      <c r="G48" s="240"/>
      <c r="H48" s="240"/>
      <c r="I48" s="240"/>
      <c r="J48" s="240"/>
      <c r="K48" s="207"/>
      <c r="L48" s="237"/>
    </row>
    <row r="49" spans="1:12" x14ac:dyDescent="0.25">
      <c r="A49" s="237"/>
      <c r="B49" s="237"/>
      <c r="C49" s="237"/>
      <c r="D49" s="237"/>
      <c r="E49" s="237"/>
      <c r="F49" s="240"/>
      <c r="G49" s="240"/>
      <c r="H49" s="240"/>
      <c r="I49" s="240"/>
      <c r="J49" s="240"/>
      <c r="K49" s="207"/>
      <c r="L49" s="237"/>
    </row>
    <row r="50" spans="1:12" x14ac:dyDescent="0.25">
      <c r="F50" s="135"/>
      <c r="G50" s="135"/>
      <c r="H50" s="135"/>
      <c r="I50" s="135"/>
      <c r="J50" s="135"/>
    </row>
    <row r="51" spans="1:12" x14ac:dyDescent="0.25">
      <c r="F51" s="135"/>
      <c r="G51" s="135"/>
      <c r="H51" s="135"/>
      <c r="I51" s="135"/>
      <c r="J51" s="135"/>
    </row>
    <row r="52" spans="1:12" x14ac:dyDescent="0.25">
      <c r="F52" s="135"/>
      <c r="G52" s="135"/>
      <c r="H52" s="135"/>
      <c r="I52" s="135"/>
      <c r="J52" s="135"/>
    </row>
    <row r="53" spans="1:12" x14ac:dyDescent="0.25">
      <c r="F53" s="135"/>
      <c r="G53" s="135"/>
      <c r="H53" s="135"/>
      <c r="I53" s="135"/>
      <c r="J53" s="135"/>
    </row>
    <row r="54" spans="1:12" x14ac:dyDescent="0.25">
      <c r="F54" s="135"/>
      <c r="G54" s="135"/>
      <c r="H54" s="135"/>
      <c r="I54" s="135"/>
      <c r="J54" s="135"/>
    </row>
    <row r="55" spans="1:12" x14ac:dyDescent="0.25">
      <c r="F55" s="135"/>
      <c r="G55" s="135"/>
      <c r="H55" s="135"/>
      <c r="I55" s="135"/>
      <c r="J55" s="135"/>
    </row>
    <row r="56" spans="1:12" x14ac:dyDescent="0.25">
      <c r="F56" s="135"/>
      <c r="G56" s="135"/>
      <c r="H56" s="135"/>
      <c r="I56" s="135"/>
      <c r="J56" s="135"/>
    </row>
    <row r="57" spans="1:12" x14ac:dyDescent="0.25">
      <c r="F57" s="135"/>
      <c r="G57" s="135"/>
      <c r="H57" s="135"/>
      <c r="I57" s="135"/>
      <c r="J57" s="135"/>
    </row>
    <row r="58" spans="1:12" x14ac:dyDescent="0.25">
      <c r="F58" s="135"/>
      <c r="G58" s="135"/>
      <c r="H58" s="135"/>
      <c r="I58" s="135"/>
      <c r="J58" s="135"/>
    </row>
    <row r="59" spans="1:12" x14ac:dyDescent="0.25">
      <c r="F59" s="135"/>
      <c r="G59" s="135"/>
      <c r="H59" s="135"/>
      <c r="I59" s="135"/>
      <c r="J59" s="135"/>
    </row>
    <row r="60" spans="1:12" x14ac:dyDescent="0.25">
      <c r="F60" s="135"/>
      <c r="G60" s="135"/>
      <c r="H60" s="135"/>
      <c r="I60" s="135"/>
      <c r="J60" s="135"/>
    </row>
    <row r="61" spans="1:12" x14ac:dyDescent="0.25">
      <c r="F61" s="135"/>
      <c r="G61" s="135"/>
      <c r="H61" s="135"/>
      <c r="I61" s="135"/>
      <c r="J61" s="135"/>
    </row>
    <row r="62" spans="1:12" x14ac:dyDescent="0.25">
      <c r="F62" s="135"/>
      <c r="G62" s="135"/>
      <c r="H62" s="135"/>
      <c r="I62" s="135"/>
      <c r="J62" s="135"/>
    </row>
    <row r="63" spans="1:12" x14ac:dyDescent="0.25">
      <c r="F63" s="135"/>
      <c r="G63" s="135"/>
      <c r="H63" s="135"/>
      <c r="I63" s="135"/>
      <c r="J63" s="135"/>
    </row>
    <row r="64" spans="1:12" x14ac:dyDescent="0.25">
      <c r="F64" s="135"/>
      <c r="G64" s="135"/>
      <c r="H64" s="135"/>
      <c r="I64" s="135"/>
      <c r="J64" s="135"/>
    </row>
    <row r="65" spans="6:10" x14ac:dyDescent="0.25">
      <c r="F65" s="135"/>
      <c r="G65" s="135"/>
      <c r="H65" s="135"/>
      <c r="I65" s="135"/>
      <c r="J65" s="135"/>
    </row>
    <row r="66" spans="6:10" x14ac:dyDescent="0.25">
      <c r="F66" s="135"/>
      <c r="G66" s="135"/>
      <c r="H66" s="135"/>
      <c r="I66" s="135"/>
      <c r="J66" s="135"/>
    </row>
    <row r="67" spans="6:10" x14ac:dyDescent="0.25">
      <c r="F67" s="135"/>
      <c r="G67" s="135"/>
      <c r="H67" s="135"/>
      <c r="I67" s="135"/>
      <c r="J67" s="135"/>
    </row>
    <row r="68" spans="6:10" x14ac:dyDescent="0.25">
      <c r="F68" s="135"/>
      <c r="G68" s="135"/>
      <c r="H68" s="135"/>
      <c r="I68" s="135"/>
      <c r="J68" s="135"/>
    </row>
    <row r="69" spans="6:10" x14ac:dyDescent="0.25">
      <c r="F69" s="135"/>
      <c r="G69" s="135"/>
      <c r="H69" s="135"/>
      <c r="I69" s="135"/>
      <c r="J69" s="135"/>
    </row>
    <row r="70" spans="6:10" x14ac:dyDescent="0.25">
      <c r="F70" s="135"/>
      <c r="G70" s="135"/>
      <c r="H70" s="135"/>
      <c r="I70" s="135"/>
      <c r="J70" s="135"/>
    </row>
    <row r="71" spans="6:10" x14ac:dyDescent="0.25">
      <c r="F71" s="135"/>
      <c r="G71" s="135"/>
      <c r="H71" s="135"/>
      <c r="I71" s="135"/>
      <c r="J71" s="135"/>
    </row>
    <row r="72" spans="6:10" x14ac:dyDescent="0.25">
      <c r="F72" s="135"/>
      <c r="G72" s="135"/>
      <c r="H72" s="135"/>
      <c r="I72" s="135"/>
      <c r="J72" s="135"/>
    </row>
    <row r="73" spans="6:10" x14ac:dyDescent="0.25">
      <c r="F73" s="135"/>
      <c r="G73" s="135"/>
      <c r="H73" s="135"/>
      <c r="I73" s="135"/>
      <c r="J73" s="135"/>
    </row>
  </sheetData>
  <mergeCells count="1">
    <mergeCell ref="C18:I18"/>
  </mergeCells>
  <phoneticPr fontId="33" type="noConversion"/>
  <printOptions horizontalCentered="1"/>
  <pageMargins left="0.36" right="0.4" top="0.4" bottom="0.74803149606299213" header="0.31496062992125984" footer="0.31496062992125984"/>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F113"/>
  <sheetViews>
    <sheetView showGridLines="0" topLeftCell="FU1" zoomScale="90" zoomScaleNormal="90" zoomScalePageLayoutView="90" workbookViewId="0">
      <selection activeCell="GF15" sqref="GF15"/>
    </sheetView>
  </sheetViews>
  <sheetFormatPr baseColWidth="10" defaultColWidth="9.140625" defaultRowHeight="15" x14ac:dyDescent="0.25"/>
  <cols>
    <col min="1" max="1" width="4.42578125" style="1" customWidth="1"/>
    <col min="2" max="2" width="10" style="1" customWidth="1"/>
    <col min="3" max="3" width="14.140625" style="1" customWidth="1"/>
    <col min="4" max="4" width="16.85546875" style="1" customWidth="1"/>
    <col min="5" max="5" width="14" style="1" customWidth="1"/>
    <col min="6" max="6" width="16.42578125" style="1" customWidth="1"/>
    <col min="7" max="7" width="12.85546875" style="1" customWidth="1"/>
    <col min="8" max="9" width="13.42578125" style="1" customWidth="1"/>
    <col min="10" max="10" width="3.140625" style="131" customWidth="1"/>
    <col min="11" max="11" width="20.140625" style="1" customWidth="1"/>
    <col min="12" max="12" width="12.42578125" style="1" customWidth="1"/>
    <col min="13" max="13" width="13.42578125" style="1" customWidth="1"/>
    <col min="14" max="14" width="10.85546875" style="1" customWidth="1"/>
    <col min="15" max="15" width="11.85546875" style="1" customWidth="1"/>
    <col min="16" max="16384" width="9.140625" style="1"/>
  </cols>
  <sheetData>
    <row r="1" spans="1:188" x14ac:dyDescent="0.25">
      <c r="A1" s="140"/>
      <c r="B1" s="140"/>
      <c r="C1" s="140"/>
      <c r="D1" s="140"/>
      <c r="E1" s="140"/>
      <c r="F1" s="140"/>
      <c r="G1" s="140"/>
      <c r="H1" s="140"/>
      <c r="I1" s="140"/>
      <c r="J1" s="267"/>
      <c r="K1" s="140"/>
    </row>
    <row r="2" spans="1:188" ht="15.75" thickBot="1" x14ac:dyDescent="0.3">
      <c r="A2" s="140"/>
      <c r="B2" s="140"/>
      <c r="C2" s="140"/>
      <c r="D2" s="140"/>
      <c r="E2" s="140"/>
      <c r="F2" s="140"/>
      <c r="G2" s="140"/>
      <c r="H2" s="140"/>
      <c r="I2" s="140"/>
      <c r="J2" s="267"/>
      <c r="K2" s="140"/>
    </row>
    <row r="3" spans="1:188" ht="32.25" customHeight="1" thickBot="1" x14ac:dyDescent="0.3">
      <c r="A3" s="268" t="s">
        <v>464</v>
      </c>
      <c r="B3" s="599" t="s">
        <v>70</v>
      </c>
      <c r="C3" s="600"/>
      <c r="D3" s="600"/>
      <c r="E3" s="600"/>
      <c r="F3" s="600"/>
      <c r="G3" s="600"/>
      <c r="H3" s="600"/>
      <c r="I3" s="601"/>
      <c r="J3" s="269"/>
      <c r="K3" s="140"/>
    </row>
    <row r="4" spans="1:188" x14ac:dyDescent="0.25">
      <c r="A4" s="140"/>
      <c r="B4" s="140"/>
      <c r="C4" s="140"/>
      <c r="D4" s="140"/>
      <c r="E4" s="140"/>
      <c r="F4" s="140"/>
      <c r="G4" s="140"/>
      <c r="H4" s="140"/>
      <c r="I4" s="140"/>
      <c r="J4" s="267"/>
      <c r="K4" s="140"/>
    </row>
    <row r="5" spans="1:188" x14ac:dyDescent="0.25">
      <c r="A5" s="140"/>
      <c r="B5" s="167" t="s">
        <v>560</v>
      </c>
      <c r="C5" s="270"/>
      <c r="D5" s="152"/>
      <c r="E5" s="152"/>
      <c r="F5" s="152"/>
      <c r="G5" s="152"/>
      <c r="H5" s="152"/>
      <c r="I5" s="153" t="s">
        <v>452</v>
      </c>
      <c r="J5" s="271"/>
      <c r="K5" s="140"/>
    </row>
    <row r="6" spans="1:188" x14ac:dyDescent="0.25">
      <c r="A6" s="140"/>
      <c r="B6" s="248" t="s">
        <v>50</v>
      </c>
      <c r="C6" s="258"/>
      <c r="D6" s="259"/>
      <c r="E6" s="260"/>
      <c r="F6" s="260"/>
      <c r="G6" s="260"/>
      <c r="H6" s="260"/>
      <c r="I6" s="249">
        <f>+Antecedentes!$L$20</f>
        <v>95000000</v>
      </c>
      <c r="J6" s="250" t="s">
        <v>417</v>
      </c>
      <c r="K6" s="140"/>
    </row>
    <row r="7" spans="1:188" ht="25.5" customHeight="1" x14ac:dyDescent="0.25">
      <c r="A7" s="140"/>
      <c r="B7" s="610" t="s">
        <v>71</v>
      </c>
      <c r="C7" s="611"/>
      <c r="D7" s="611"/>
      <c r="E7" s="611"/>
      <c r="F7" s="611"/>
      <c r="G7" s="611"/>
      <c r="H7" s="611"/>
      <c r="I7" s="251">
        <f>+Antecedentes!K22</f>
        <v>5000000</v>
      </c>
      <c r="J7" s="252" t="s">
        <v>417</v>
      </c>
      <c r="K7" s="140"/>
    </row>
    <row r="8" spans="1:188" x14ac:dyDescent="0.25">
      <c r="A8" s="140"/>
      <c r="B8" s="253" t="s">
        <v>110</v>
      </c>
      <c r="C8" s="254"/>
      <c r="D8" s="254"/>
      <c r="E8" s="254"/>
      <c r="F8" s="254"/>
      <c r="G8" s="254"/>
      <c r="H8" s="254"/>
      <c r="I8" s="255">
        <f>Antecedentes!$L$23</f>
        <v>8000000</v>
      </c>
      <c r="J8" s="250" t="s">
        <v>417</v>
      </c>
      <c r="K8" s="140"/>
    </row>
    <row r="9" spans="1:188" x14ac:dyDescent="0.25">
      <c r="A9" s="140"/>
      <c r="B9" s="272" t="s">
        <v>597</v>
      </c>
      <c r="C9" s="273"/>
      <c r="D9" s="274"/>
      <c r="E9" s="274"/>
      <c r="F9" s="274"/>
      <c r="G9" s="274"/>
      <c r="H9" s="274"/>
      <c r="I9" s="275">
        <f>SUM(I6:I8)</f>
        <v>108000000</v>
      </c>
      <c r="J9" s="250" t="s">
        <v>419</v>
      </c>
      <c r="K9" s="140"/>
    </row>
    <row r="10" spans="1:188" x14ac:dyDescent="0.25">
      <c r="A10" s="140"/>
      <c r="B10" s="172" t="s">
        <v>149</v>
      </c>
      <c r="C10" s="174"/>
      <c r="D10" s="175"/>
      <c r="E10" s="175"/>
      <c r="F10" s="175"/>
      <c r="G10" s="175"/>
      <c r="H10" s="175"/>
      <c r="I10" s="249">
        <f>'Crédito IPE'!K15</f>
        <v>6406195</v>
      </c>
      <c r="J10" s="250" t="s">
        <v>417</v>
      </c>
      <c r="K10" s="140"/>
    </row>
    <row r="11" spans="1:188" x14ac:dyDescent="0.25">
      <c r="A11" s="140"/>
      <c r="B11" s="222" t="s">
        <v>69</v>
      </c>
      <c r="C11" s="276"/>
      <c r="D11" s="277"/>
      <c r="E11" s="277"/>
      <c r="F11" s="277"/>
      <c r="G11" s="277"/>
      <c r="H11" s="277"/>
      <c r="I11" s="249">
        <f>'Crédito IPE'!K36</f>
        <v>3599883</v>
      </c>
      <c r="J11" s="250" t="s">
        <v>417</v>
      </c>
      <c r="K11" s="140"/>
    </row>
    <row r="12" spans="1:188" x14ac:dyDescent="0.25">
      <c r="A12" s="140"/>
      <c r="B12" s="272" t="s">
        <v>148</v>
      </c>
      <c r="C12" s="274"/>
      <c r="D12" s="274"/>
      <c r="E12" s="274"/>
      <c r="F12" s="274"/>
      <c r="G12" s="274"/>
      <c r="H12" s="274"/>
      <c r="I12" s="275">
        <f>SUM(I10:I11)</f>
        <v>10006078</v>
      </c>
      <c r="J12" s="250" t="s">
        <v>419</v>
      </c>
      <c r="K12" s="140"/>
    </row>
    <row r="13" spans="1:188" x14ac:dyDescent="0.25">
      <c r="A13" s="140"/>
      <c r="B13" s="154" t="s">
        <v>465</v>
      </c>
      <c r="C13" s="155"/>
      <c r="D13" s="278"/>
      <c r="E13" s="279"/>
      <c r="F13" s="279"/>
      <c r="G13" s="279"/>
      <c r="H13" s="279"/>
      <c r="I13" s="255">
        <f>+Antecedentes!L27</f>
        <v>200125</v>
      </c>
      <c r="J13" s="250" t="s">
        <v>417</v>
      </c>
      <c r="K13" s="140"/>
    </row>
    <row r="14" spans="1:188" x14ac:dyDescent="0.25">
      <c r="A14" s="140"/>
      <c r="B14" s="222" t="s">
        <v>401</v>
      </c>
      <c r="C14" s="280"/>
      <c r="D14" s="276"/>
      <c r="E14" s="277"/>
      <c r="F14" s="277"/>
      <c r="G14" s="277"/>
      <c r="H14" s="277"/>
      <c r="I14" s="256">
        <f>+Antecedentes!$G$88-Antecedentes!$E$88</f>
        <v>4438</v>
      </c>
      <c r="J14" s="252" t="s">
        <v>417</v>
      </c>
      <c r="K14" s="140"/>
    </row>
    <row r="15" spans="1:188" x14ac:dyDescent="0.25">
      <c r="A15" s="140"/>
      <c r="B15" s="272" t="s">
        <v>563</v>
      </c>
      <c r="C15" s="273"/>
      <c r="D15" s="274"/>
      <c r="E15" s="274"/>
      <c r="F15" s="274"/>
      <c r="G15" s="274"/>
      <c r="H15" s="274"/>
      <c r="I15" s="281">
        <f>SUM(I13:I14)</f>
        <v>204563</v>
      </c>
      <c r="J15" s="250" t="s">
        <v>419</v>
      </c>
      <c r="K15" s="140"/>
      <c r="GF15" s="116"/>
    </row>
    <row r="16" spans="1:188" ht="15.75" thickBot="1" x14ac:dyDescent="0.3">
      <c r="A16" s="140"/>
      <c r="B16" s="257" t="s">
        <v>562</v>
      </c>
      <c r="C16" s="282"/>
      <c r="D16" s="282"/>
      <c r="E16" s="282"/>
      <c r="F16" s="282"/>
      <c r="G16" s="282"/>
      <c r="H16" s="282"/>
      <c r="I16" s="283"/>
      <c r="J16" s="284" t="s">
        <v>419</v>
      </c>
      <c r="K16" s="285">
        <f>+I9+I12+I15</f>
        <v>118210641</v>
      </c>
    </row>
    <row r="17" spans="1:13" ht="15.75" thickTop="1" x14ac:dyDescent="0.25">
      <c r="A17" s="140"/>
      <c r="B17" s="140"/>
      <c r="C17" s="140"/>
      <c r="D17" s="140"/>
      <c r="E17" s="140"/>
      <c r="F17" s="140"/>
      <c r="G17" s="140"/>
      <c r="H17" s="140"/>
      <c r="I17" s="140"/>
      <c r="J17" s="267"/>
      <c r="K17" s="140"/>
    </row>
    <row r="18" spans="1:13" x14ac:dyDescent="0.25">
      <c r="A18" s="140"/>
      <c r="B18" s="167" t="s">
        <v>561</v>
      </c>
      <c r="C18" s="270"/>
      <c r="D18" s="152"/>
      <c r="E18" s="152"/>
      <c r="F18" s="152"/>
      <c r="G18" s="152"/>
      <c r="H18" s="152"/>
      <c r="I18" s="153" t="s">
        <v>452</v>
      </c>
      <c r="J18" s="271"/>
      <c r="K18" s="140"/>
    </row>
    <row r="19" spans="1:13" x14ac:dyDescent="0.25">
      <c r="A19" s="140"/>
      <c r="B19" s="192" t="str">
        <f>+Antecedentes!C44</f>
        <v>Compras netas  existencias 2021</v>
      </c>
      <c r="C19" s="258"/>
      <c r="D19" s="259"/>
      <c r="E19" s="260"/>
      <c r="F19" s="260"/>
      <c r="G19" s="260"/>
      <c r="H19" s="260"/>
      <c r="I19" s="255">
        <f>-Antecedentes!L44</f>
        <v>-22000000</v>
      </c>
      <c r="J19" s="250" t="s">
        <v>418</v>
      </c>
      <c r="K19" s="140"/>
    </row>
    <row r="20" spans="1:13" x14ac:dyDescent="0.25">
      <c r="A20" s="140"/>
      <c r="B20" s="194" t="s">
        <v>33</v>
      </c>
      <c r="C20" s="261"/>
      <c r="D20" s="262"/>
      <c r="E20" s="263"/>
      <c r="F20" s="263"/>
      <c r="G20" s="263"/>
      <c r="H20" s="263"/>
      <c r="I20" s="255">
        <f>-Antecedentes!L52</f>
        <v>-2000000</v>
      </c>
      <c r="J20" s="250" t="s">
        <v>418</v>
      </c>
      <c r="K20" s="140"/>
    </row>
    <row r="21" spans="1:13" x14ac:dyDescent="0.25">
      <c r="A21" s="140"/>
      <c r="B21" s="194" t="str">
        <f>+Antecedentes!C45</f>
        <v>Compra neta camioneta de reparto usada</v>
      </c>
      <c r="C21" s="264"/>
      <c r="D21" s="262"/>
      <c r="E21" s="263"/>
      <c r="F21" s="263"/>
      <c r="G21" s="263"/>
      <c r="H21" s="263"/>
      <c r="I21" s="255">
        <f>-Antecedentes!L45</f>
        <v>-2000000</v>
      </c>
      <c r="J21" s="250" t="s">
        <v>418</v>
      </c>
      <c r="K21" s="140"/>
    </row>
    <row r="22" spans="1:13" x14ac:dyDescent="0.25">
      <c r="A22" s="140"/>
      <c r="B22" s="194" t="s">
        <v>502</v>
      </c>
      <c r="C22" s="264"/>
      <c r="D22" s="262"/>
      <c r="E22" s="263"/>
      <c r="F22" s="263"/>
      <c r="G22" s="263"/>
      <c r="H22" s="263"/>
      <c r="I22" s="255">
        <f>-Antecedentes!L46-Antecedentes!L50-Antecedentes!L51</f>
        <v>-8505000</v>
      </c>
      <c r="J22" s="250" t="s">
        <v>418</v>
      </c>
      <c r="K22" s="140"/>
    </row>
    <row r="23" spans="1:13" x14ac:dyDescent="0.25">
      <c r="A23" s="140"/>
      <c r="B23" s="198" t="str">
        <f>+Antecedentes!C47</f>
        <v>Honorarios del ejercicio</v>
      </c>
      <c r="C23" s="264"/>
      <c r="D23" s="262"/>
      <c r="E23" s="263"/>
      <c r="F23" s="263"/>
      <c r="G23" s="263"/>
      <c r="H23" s="263"/>
      <c r="I23" s="265">
        <f>-Antecedentes!L47</f>
        <v>-999999.50282485876</v>
      </c>
      <c r="J23" s="252" t="s">
        <v>418</v>
      </c>
      <c r="K23" s="140"/>
    </row>
    <row r="24" spans="1:13" x14ac:dyDescent="0.25">
      <c r="A24" s="140"/>
      <c r="B24" s="253" t="str">
        <f>+Antecedentes!C48</f>
        <v>Gastos generales</v>
      </c>
      <c r="C24" s="264"/>
      <c r="D24" s="262"/>
      <c r="E24" s="263"/>
      <c r="F24" s="263"/>
      <c r="G24" s="263"/>
      <c r="H24" s="263"/>
      <c r="I24" s="266">
        <f>-Antecedentes!L48</f>
        <v>-201000</v>
      </c>
      <c r="J24" s="252" t="s">
        <v>418</v>
      </c>
      <c r="K24" s="140"/>
    </row>
    <row r="25" spans="1:13" x14ac:dyDescent="0.25">
      <c r="A25" s="140"/>
      <c r="B25" s="253" t="str">
        <f>+Antecedentes!C49</f>
        <v>Arriendos</v>
      </c>
      <c r="C25" s="264"/>
      <c r="D25" s="262"/>
      <c r="E25" s="263"/>
      <c r="F25" s="263"/>
      <c r="G25" s="263"/>
      <c r="H25" s="263"/>
      <c r="I25" s="266">
        <f>-Antecedentes!L49</f>
        <v>-860000</v>
      </c>
      <c r="J25" s="252" t="s">
        <v>418</v>
      </c>
      <c r="K25" s="140"/>
    </row>
    <row r="26" spans="1:13" x14ac:dyDescent="0.25">
      <c r="A26" s="140"/>
      <c r="B26" s="253" t="s">
        <v>503</v>
      </c>
      <c r="C26" s="264"/>
      <c r="D26" s="262"/>
      <c r="E26" s="263"/>
      <c r="F26" s="263"/>
      <c r="G26" s="263"/>
      <c r="H26" s="263"/>
      <c r="I26" s="265">
        <f>-Antecedentes!I53</f>
        <v>-280000</v>
      </c>
      <c r="J26" s="252" t="s">
        <v>418</v>
      </c>
      <c r="K26" s="140"/>
    </row>
    <row r="27" spans="1:13" x14ac:dyDescent="0.25">
      <c r="A27" s="140"/>
      <c r="B27" s="253" t="str">
        <f>+Antecedentes!C54</f>
        <v>Pago intereses y multas fiscales</v>
      </c>
      <c r="C27" s="264"/>
      <c r="D27" s="262"/>
      <c r="E27" s="263"/>
      <c r="F27" s="263"/>
      <c r="G27" s="263"/>
      <c r="H27" s="263"/>
      <c r="I27" s="265">
        <f>-Antecedentes!L54</f>
        <v>-140000</v>
      </c>
      <c r="J27" s="252" t="s">
        <v>418</v>
      </c>
      <c r="K27" s="140"/>
    </row>
    <row r="28" spans="1:13" x14ac:dyDescent="0.25">
      <c r="A28" s="140"/>
      <c r="B28" s="253" t="str">
        <f>+Antecedentes!C55</f>
        <v>Pago IDPC AT. 2021</v>
      </c>
      <c r="C28" s="264"/>
      <c r="D28" s="262"/>
      <c r="E28" s="263"/>
      <c r="F28" s="263"/>
      <c r="G28" s="263"/>
      <c r="H28" s="263"/>
      <c r="I28" s="256">
        <f>-Antecedentes!L55</f>
        <v>-2300000</v>
      </c>
      <c r="J28" s="252" t="s">
        <v>418</v>
      </c>
      <c r="K28" s="140"/>
    </row>
    <row r="29" spans="1:13" ht="15.75" thickBot="1" x14ac:dyDescent="0.3">
      <c r="A29" s="140"/>
      <c r="B29" s="257" t="s">
        <v>31</v>
      </c>
      <c r="C29" s="282"/>
      <c r="D29" s="282"/>
      <c r="E29" s="282"/>
      <c r="F29" s="282"/>
      <c r="G29" s="282"/>
      <c r="H29" s="283"/>
      <c r="I29" s="281">
        <f>SUM(I19:I28)</f>
        <v>-39285999.502824858</v>
      </c>
      <c r="J29" s="250" t="s">
        <v>419</v>
      </c>
      <c r="K29" s="140"/>
    </row>
    <row r="30" spans="1:13" ht="16.5" thickTop="1" thickBot="1" x14ac:dyDescent="0.3">
      <c r="A30" s="140"/>
      <c r="B30" s="257" t="s">
        <v>32</v>
      </c>
      <c r="C30" s="282"/>
      <c r="D30" s="282"/>
      <c r="E30" s="282"/>
      <c r="F30" s="282"/>
      <c r="G30" s="282"/>
      <c r="H30" s="282"/>
      <c r="I30" s="283"/>
      <c r="J30" s="284" t="s">
        <v>419</v>
      </c>
      <c r="K30" s="286">
        <f>+I29</f>
        <v>-39285999.502824858</v>
      </c>
      <c r="M30" s="1" t="s">
        <v>567</v>
      </c>
    </row>
    <row r="31" spans="1:13" ht="15.75" thickTop="1" x14ac:dyDescent="0.25">
      <c r="A31" s="140"/>
      <c r="B31" s="253" t="str">
        <f>+B27</f>
        <v>Pago intereses y multas fiscales</v>
      </c>
      <c r="C31" s="264"/>
      <c r="D31" s="262"/>
      <c r="E31" s="263"/>
      <c r="F31" s="263"/>
      <c r="G31" s="263"/>
      <c r="H31" s="263"/>
      <c r="I31" s="255">
        <f>-I27</f>
        <v>140000</v>
      </c>
      <c r="J31" s="250" t="s">
        <v>417</v>
      </c>
      <c r="K31" s="140"/>
    </row>
    <row r="32" spans="1:13" x14ac:dyDescent="0.25">
      <c r="A32" s="140"/>
      <c r="B32" s="253" t="str">
        <f>+B28</f>
        <v>Pago IDPC AT. 2021</v>
      </c>
      <c r="C32" s="264"/>
      <c r="D32" s="262"/>
      <c r="E32" s="263"/>
      <c r="F32" s="263"/>
      <c r="G32" s="263"/>
      <c r="H32" s="263"/>
      <c r="I32" s="255">
        <f>-I28</f>
        <v>2300000</v>
      </c>
      <c r="J32" s="250" t="s">
        <v>417</v>
      </c>
      <c r="K32" s="140"/>
    </row>
    <row r="33" spans="1:11" ht="15.75" thickBot="1" x14ac:dyDescent="0.3">
      <c r="A33" s="140"/>
      <c r="B33" s="257" t="s">
        <v>399</v>
      </c>
      <c r="C33" s="282"/>
      <c r="D33" s="282"/>
      <c r="E33" s="282"/>
      <c r="F33" s="282"/>
      <c r="G33" s="282"/>
      <c r="H33" s="282"/>
      <c r="I33" s="283"/>
      <c r="J33" s="284" t="s">
        <v>419</v>
      </c>
      <c r="K33" s="285">
        <f>SUM(I31:I32)</f>
        <v>2440000</v>
      </c>
    </row>
    <row r="34" spans="1:11" ht="15.75" thickTop="1" x14ac:dyDescent="0.25">
      <c r="A34" s="140"/>
      <c r="B34" s="140"/>
      <c r="C34" s="140"/>
      <c r="D34" s="140"/>
      <c r="E34" s="140"/>
      <c r="F34" s="140"/>
      <c r="G34" s="140"/>
      <c r="H34" s="140"/>
      <c r="I34" s="140"/>
      <c r="J34" s="267"/>
      <c r="K34" s="140"/>
    </row>
    <row r="35" spans="1:11" ht="15.75" thickBot="1" x14ac:dyDescent="0.3">
      <c r="A35" s="140"/>
      <c r="B35" s="167" t="s">
        <v>564</v>
      </c>
      <c r="C35" s="182"/>
      <c r="D35" s="182"/>
      <c r="E35" s="182"/>
      <c r="F35" s="182"/>
      <c r="G35" s="182"/>
      <c r="H35" s="182"/>
      <c r="I35" s="287"/>
      <c r="J35" s="288" t="s">
        <v>419</v>
      </c>
      <c r="K35" s="289">
        <f>SUM(K16:K33)</f>
        <v>81364641.497175142</v>
      </c>
    </row>
    <row r="36" spans="1:11" ht="15.75" thickTop="1" x14ac:dyDescent="0.25">
      <c r="A36" s="140"/>
      <c r="B36" s="140"/>
      <c r="C36" s="140"/>
      <c r="D36" s="140"/>
      <c r="E36" s="140"/>
      <c r="F36" s="140"/>
      <c r="G36" s="140"/>
      <c r="H36" s="140"/>
      <c r="I36" s="140"/>
      <c r="J36" s="267"/>
      <c r="K36" s="140"/>
    </row>
    <row r="37" spans="1:11" x14ac:dyDescent="0.25">
      <c r="A37" s="140"/>
      <c r="B37" s="612" t="s">
        <v>72</v>
      </c>
      <c r="C37" s="613"/>
      <c r="D37" s="613"/>
      <c r="E37" s="613"/>
      <c r="F37" s="613"/>
      <c r="G37" s="613"/>
      <c r="H37" s="613"/>
      <c r="I37" s="614"/>
      <c r="J37" s="290" t="s">
        <v>418</v>
      </c>
      <c r="K37" s="291">
        <f>-I49</f>
        <v>-31462321</v>
      </c>
    </row>
    <row r="38" spans="1:11" x14ac:dyDescent="0.25">
      <c r="A38" s="140"/>
      <c r="B38" s="140"/>
      <c r="C38" s="140"/>
      <c r="D38" s="140"/>
      <c r="E38" s="140"/>
      <c r="F38" s="140"/>
      <c r="G38" s="140"/>
      <c r="H38" s="140"/>
      <c r="I38" s="140"/>
      <c r="J38" s="267"/>
      <c r="K38" s="140"/>
    </row>
    <row r="39" spans="1:11" x14ac:dyDescent="0.25">
      <c r="A39" s="140"/>
      <c r="B39" s="167" t="s">
        <v>565</v>
      </c>
      <c r="C39" s="182"/>
      <c r="D39" s="182"/>
      <c r="E39" s="182"/>
      <c r="F39" s="182"/>
      <c r="G39" s="182"/>
      <c r="H39" s="182"/>
      <c r="I39" s="287"/>
      <c r="J39" s="290" t="s">
        <v>419</v>
      </c>
      <c r="K39" s="292">
        <f>+K35+K37</f>
        <v>49902320.497175142</v>
      </c>
    </row>
    <row r="40" spans="1:11" x14ac:dyDescent="0.25">
      <c r="A40" s="140"/>
      <c r="B40" s="293" t="s">
        <v>395</v>
      </c>
      <c r="C40" s="294"/>
      <c r="D40" s="294"/>
      <c r="E40" s="294"/>
      <c r="F40" s="294"/>
      <c r="G40" s="294"/>
      <c r="H40" s="294"/>
      <c r="I40" s="295">
        <v>0.1</v>
      </c>
      <c r="J40" s="296" t="s">
        <v>419</v>
      </c>
      <c r="K40" s="292">
        <f>ROUND(+K39*I40,0)</f>
        <v>4990232</v>
      </c>
    </row>
    <row r="41" spans="1:11" x14ac:dyDescent="0.25">
      <c r="A41" s="140"/>
      <c r="B41" s="140"/>
      <c r="C41" s="140"/>
      <c r="D41" s="140"/>
      <c r="E41" s="140"/>
      <c r="F41" s="140"/>
      <c r="G41" s="140"/>
      <c r="H41" s="140"/>
      <c r="I41" s="140"/>
      <c r="J41" s="267"/>
      <c r="K41" s="140"/>
    </row>
    <row r="42" spans="1:11" ht="15.75" thickBot="1" x14ac:dyDescent="0.3">
      <c r="A42" s="140"/>
      <c r="B42" s="140"/>
      <c r="C42" s="140"/>
      <c r="D42" s="140"/>
      <c r="E42" s="140"/>
      <c r="F42" s="140"/>
      <c r="G42" s="140"/>
      <c r="H42" s="140"/>
      <c r="I42" s="140"/>
      <c r="J42" s="267"/>
      <c r="K42" s="140"/>
    </row>
    <row r="43" spans="1:11" ht="19.5" customHeight="1" thickBot="1" x14ac:dyDescent="0.3">
      <c r="A43" s="268" t="s">
        <v>467</v>
      </c>
      <c r="B43" s="599" t="s">
        <v>385</v>
      </c>
      <c r="C43" s="600"/>
      <c r="D43" s="600"/>
      <c r="E43" s="600"/>
      <c r="F43" s="600"/>
      <c r="G43" s="600"/>
      <c r="H43" s="600"/>
      <c r="I43" s="601"/>
      <c r="J43" s="269"/>
      <c r="K43" s="140"/>
    </row>
    <row r="44" spans="1:11" x14ac:dyDescent="0.25">
      <c r="A44" s="140"/>
      <c r="B44" s="297" t="s">
        <v>466</v>
      </c>
      <c r="C44" s="298"/>
      <c r="D44" s="299"/>
      <c r="E44" s="228"/>
      <c r="F44" s="140"/>
      <c r="G44" s="140"/>
      <c r="H44" s="140"/>
      <c r="I44" s="265">
        <f>+K35</f>
        <v>81364641.497175142</v>
      </c>
      <c r="J44" s="300"/>
      <c r="K44" s="140"/>
    </row>
    <row r="45" spans="1:11" x14ac:dyDescent="0.25">
      <c r="A45" s="140"/>
      <c r="B45" s="297" t="s">
        <v>48</v>
      </c>
      <c r="C45" s="298"/>
      <c r="D45" s="299"/>
      <c r="E45" s="228"/>
      <c r="F45" s="140"/>
      <c r="G45" s="140"/>
      <c r="H45" s="140"/>
      <c r="I45" s="265">
        <f>-Antecedentes!E82</f>
        <v>-16000000</v>
      </c>
      <c r="J45" s="300"/>
      <c r="K45" s="140"/>
    </row>
    <row r="46" spans="1:11" x14ac:dyDescent="0.25">
      <c r="A46" s="140"/>
      <c r="B46" s="297" t="s">
        <v>15</v>
      </c>
      <c r="C46" s="298"/>
      <c r="D46" s="299"/>
      <c r="E46" s="228"/>
      <c r="F46" s="140"/>
      <c r="G46" s="140"/>
      <c r="H46" s="140"/>
      <c r="I46" s="255">
        <f>+'CPT Simplificado'!F9</f>
        <v>-140000</v>
      </c>
      <c r="J46" s="301"/>
      <c r="K46" s="140"/>
    </row>
    <row r="47" spans="1:11" x14ac:dyDescent="0.25">
      <c r="A47" s="140"/>
      <c r="B47" s="297" t="s">
        <v>16</v>
      </c>
      <c r="C47" s="298"/>
      <c r="D47" s="299"/>
      <c r="E47" s="228"/>
      <c r="F47" s="140"/>
      <c r="G47" s="140"/>
      <c r="H47" s="140"/>
      <c r="I47" s="255">
        <f>+'CPT Simplificado'!F10</f>
        <v>-2300000</v>
      </c>
      <c r="J47" s="301"/>
      <c r="K47" s="140"/>
    </row>
    <row r="48" spans="1:11" x14ac:dyDescent="0.25">
      <c r="A48" s="140"/>
      <c r="B48" s="302" t="s">
        <v>236</v>
      </c>
      <c r="C48" s="298"/>
      <c r="D48" s="299"/>
      <c r="E48" s="228"/>
      <c r="F48" s="140"/>
      <c r="G48" s="140"/>
      <c r="H48" s="140"/>
      <c r="I48" s="303">
        <f>SUM(I44:I47)</f>
        <v>62924641.497175142</v>
      </c>
      <c r="J48" s="304"/>
      <c r="K48" s="140"/>
    </row>
    <row r="49" spans="1:12" ht="15" customHeight="1" x14ac:dyDescent="0.25">
      <c r="A49" s="140"/>
      <c r="B49" s="602" t="s">
        <v>533</v>
      </c>
      <c r="C49" s="603"/>
      <c r="D49" s="603"/>
      <c r="E49" s="603"/>
      <c r="F49" s="603"/>
      <c r="G49" s="603"/>
      <c r="H49" s="604"/>
      <c r="I49" s="608">
        <f>MIN(L50,MAX(ROUND(+K50*I48,0),0))</f>
        <v>31462321</v>
      </c>
      <c r="J49" s="269"/>
      <c r="K49" s="140"/>
    </row>
    <row r="50" spans="1:12" x14ac:dyDescent="0.25">
      <c r="A50" s="140"/>
      <c r="B50" s="605"/>
      <c r="C50" s="606"/>
      <c r="D50" s="606"/>
      <c r="E50" s="606"/>
      <c r="F50" s="606"/>
      <c r="G50" s="606"/>
      <c r="H50" s="607"/>
      <c r="I50" s="609"/>
      <c r="J50" s="305"/>
      <c r="K50" s="306">
        <v>0.5</v>
      </c>
      <c r="L50" s="116">
        <f>5000*Antecedentes!E72</f>
        <v>154958700</v>
      </c>
    </row>
    <row r="51" spans="1:12" x14ac:dyDescent="0.25">
      <c r="A51" s="140"/>
      <c r="B51" s="140"/>
      <c r="C51" s="140"/>
      <c r="D51" s="140"/>
      <c r="E51" s="140"/>
      <c r="F51" s="140"/>
      <c r="G51" s="140"/>
      <c r="H51" s="140"/>
      <c r="I51" s="140"/>
      <c r="J51" s="267"/>
      <c r="K51" s="140"/>
    </row>
    <row r="52" spans="1:12" x14ac:dyDescent="0.25">
      <c r="A52" s="140"/>
      <c r="B52" s="140"/>
      <c r="C52" s="140"/>
      <c r="D52" s="140"/>
      <c r="E52" s="140"/>
      <c r="F52" s="140"/>
      <c r="G52" s="140"/>
      <c r="H52" s="140"/>
      <c r="I52" s="140"/>
      <c r="J52" s="267"/>
      <c r="K52" s="140"/>
    </row>
    <row r="53" spans="1:12" ht="19.5" customHeight="1" x14ac:dyDescent="0.25">
      <c r="A53" s="140"/>
      <c r="B53" s="140"/>
      <c r="C53" s="140"/>
      <c r="D53" s="140"/>
      <c r="E53" s="140"/>
      <c r="F53" s="140"/>
      <c r="G53" s="140"/>
      <c r="H53" s="140"/>
      <c r="I53" s="140"/>
      <c r="J53" s="267"/>
      <c r="K53" s="140"/>
    </row>
    <row r="54" spans="1:12" x14ac:dyDescent="0.25">
      <c r="A54" s="140"/>
      <c r="B54" s="140"/>
      <c r="C54" s="140"/>
      <c r="D54" s="140"/>
      <c r="E54" s="140"/>
      <c r="F54" s="140"/>
      <c r="G54" s="140"/>
      <c r="H54" s="140"/>
      <c r="I54" s="140"/>
      <c r="J54" s="267"/>
      <c r="K54" s="140"/>
    </row>
    <row r="55" spans="1:12" x14ac:dyDescent="0.25">
      <c r="A55" s="140"/>
      <c r="B55" s="140"/>
      <c r="C55" s="140"/>
      <c r="D55" s="140"/>
      <c r="E55" s="140"/>
      <c r="F55" s="140"/>
      <c r="G55" s="140"/>
      <c r="H55" s="140"/>
      <c r="I55" s="140"/>
      <c r="J55" s="267"/>
      <c r="K55" s="140"/>
    </row>
    <row r="56" spans="1:12" x14ac:dyDescent="0.25">
      <c r="A56" s="140"/>
      <c r="B56" s="140"/>
      <c r="C56" s="140"/>
      <c r="D56" s="140"/>
      <c r="E56" s="140"/>
      <c r="F56" s="140"/>
      <c r="G56" s="140"/>
      <c r="H56" s="140"/>
      <c r="I56" s="140"/>
      <c r="J56" s="267"/>
      <c r="K56" s="140"/>
    </row>
    <row r="57" spans="1:12" x14ac:dyDescent="0.25">
      <c r="A57" s="140"/>
      <c r="B57" s="140"/>
      <c r="C57" s="140"/>
      <c r="D57" s="140"/>
      <c r="E57" s="140"/>
      <c r="F57" s="140"/>
      <c r="G57" s="140"/>
      <c r="H57" s="140"/>
      <c r="I57" s="140"/>
      <c r="J57" s="267"/>
      <c r="K57" s="140"/>
    </row>
    <row r="58" spans="1:12" x14ac:dyDescent="0.25">
      <c r="A58" s="140"/>
      <c r="B58" s="140"/>
      <c r="C58" s="140"/>
      <c r="D58" s="140"/>
      <c r="E58" s="140"/>
      <c r="F58" s="140"/>
      <c r="G58" s="140"/>
      <c r="H58" s="140"/>
      <c r="I58" s="140"/>
      <c r="J58" s="267"/>
      <c r="K58" s="140"/>
    </row>
    <row r="59" spans="1:12" x14ac:dyDescent="0.25">
      <c r="A59" s="140"/>
      <c r="B59" s="140"/>
      <c r="C59" s="140"/>
      <c r="D59" s="140"/>
      <c r="E59" s="140"/>
      <c r="F59" s="140"/>
      <c r="G59" s="140"/>
      <c r="H59" s="140"/>
      <c r="I59" s="140"/>
      <c r="J59" s="267"/>
      <c r="K59" s="140"/>
    </row>
    <row r="82" ht="39" customHeight="1" x14ac:dyDescent="0.25"/>
    <row r="84" ht="17.25" customHeight="1" x14ac:dyDescent="0.25"/>
    <row r="102" spans="3:7" ht="14.25" customHeight="1" x14ac:dyDescent="0.25"/>
    <row r="107" spans="3:7" x14ac:dyDescent="0.25">
      <c r="C107" s="3"/>
      <c r="D107" s="3"/>
      <c r="E107" s="3"/>
      <c r="F107" s="3"/>
      <c r="G107" s="3"/>
    </row>
    <row r="111" spans="3:7" ht="36.75" customHeight="1" x14ac:dyDescent="0.25"/>
    <row r="113" spans="3:7" x14ac:dyDescent="0.25">
      <c r="C113" s="3"/>
      <c r="D113" s="3"/>
      <c r="E113" s="3"/>
      <c r="F113" s="3"/>
      <c r="G113" s="3"/>
    </row>
  </sheetData>
  <mergeCells count="6">
    <mergeCell ref="B43:I43"/>
    <mergeCell ref="B49:H50"/>
    <mergeCell ref="B3:I3"/>
    <mergeCell ref="I49:I50"/>
    <mergeCell ref="B7:H7"/>
    <mergeCell ref="B37:I37"/>
  </mergeCells>
  <phoneticPr fontId="33" type="noConversion"/>
  <pageMargins left="0.27559055118110237" right="0.15748031496062992" top="0.39370078740157483" bottom="0.19685039370078741" header="0.31496062992125984" footer="0.11811023622047245"/>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0"/>
  <sheetViews>
    <sheetView showGridLines="0" zoomScale="85" zoomScaleNormal="85" zoomScalePageLayoutView="85" workbookViewId="0">
      <selection activeCell="H14" sqref="H14"/>
    </sheetView>
  </sheetViews>
  <sheetFormatPr baseColWidth="10" defaultColWidth="11.42578125" defaultRowHeight="15.75" x14ac:dyDescent="0.25"/>
  <cols>
    <col min="1" max="1" width="1.85546875" style="114" customWidth="1"/>
    <col min="2" max="2" width="83.85546875" style="114" customWidth="1"/>
    <col min="3" max="3" width="10.140625" style="114" customWidth="1"/>
    <col min="4" max="4" width="20" style="114" customWidth="1"/>
    <col min="5" max="17" width="4.85546875" style="114" customWidth="1"/>
    <col min="18" max="16384" width="11.42578125" style="114"/>
  </cols>
  <sheetData>
    <row r="1" spans="1:5" ht="16.5" thickBot="1" x14ac:dyDescent="0.3">
      <c r="A1" s="173"/>
      <c r="B1" s="173"/>
      <c r="C1" s="173"/>
      <c r="D1" s="173"/>
      <c r="E1" s="173"/>
    </row>
    <row r="2" spans="1:5" x14ac:dyDescent="0.25">
      <c r="A2" s="173"/>
      <c r="B2" s="618" t="s">
        <v>153</v>
      </c>
      <c r="C2" s="619"/>
      <c r="D2" s="619"/>
      <c r="E2" s="620"/>
    </row>
    <row r="3" spans="1:5" ht="16.5" thickBot="1" x14ac:dyDescent="0.3">
      <c r="A3" s="173"/>
      <c r="B3" s="621"/>
      <c r="C3" s="622"/>
      <c r="D3" s="622"/>
      <c r="E3" s="623"/>
    </row>
    <row r="4" spans="1:5" ht="26.25" thickBot="1" x14ac:dyDescent="0.3">
      <c r="A4" s="173"/>
      <c r="B4" s="307"/>
      <c r="C4" s="308"/>
      <c r="D4" s="309" t="s">
        <v>420</v>
      </c>
      <c r="E4" s="310"/>
    </row>
    <row r="5" spans="1:5" x14ac:dyDescent="0.25">
      <c r="A5" s="173"/>
      <c r="B5" s="311" t="s">
        <v>73</v>
      </c>
      <c r="C5" s="312">
        <v>1400</v>
      </c>
      <c r="D5" s="313">
        <f>+'Base Imponible y art.14 letra E'!I6</f>
        <v>95000000</v>
      </c>
      <c r="E5" s="314" t="s">
        <v>417</v>
      </c>
    </row>
    <row r="6" spans="1:5" x14ac:dyDescent="0.25">
      <c r="A6" s="173"/>
      <c r="B6" s="311" t="s">
        <v>572</v>
      </c>
      <c r="C6" s="312">
        <v>1817</v>
      </c>
      <c r="D6" s="313">
        <f>'Base Imponible y art.14 letra E'!I8</f>
        <v>8000000</v>
      </c>
      <c r="E6" s="314" t="s">
        <v>417</v>
      </c>
    </row>
    <row r="7" spans="1:5" x14ac:dyDescent="0.25">
      <c r="A7" s="173"/>
      <c r="B7" s="315" t="s">
        <v>339</v>
      </c>
      <c r="C7" s="316">
        <v>1401</v>
      </c>
      <c r="D7" s="317">
        <f>'Crédito IPE'!K15+'Crédito IPE'!K36</f>
        <v>10006078</v>
      </c>
      <c r="E7" s="318" t="s">
        <v>417</v>
      </c>
    </row>
    <row r="8" spans="1:5" x14ac:dyDescent="0.25">
      <c r="A8" s="173"/>
      <c r="B8" s="315" t="s">
        <v>240</v>
      </c>
      <c r="C8" s="316">
        <v>1402</v>
      </c>
      <c r="D8" s="317"/>
      <c r="E8" s="318" t="s">
        <v>417</v>
      </c>
    </row>
    <row r="9" spans="1:5" ht="25.5" customHeight="1" x14ac:dyDescent="0.25">
      <c r="A9" s="173"/>
      <c r="B9" s="319" t="s">
        <v>340</v>
      </c>
      <c r="C9" s="316">
        <v>1403</v>
      </c>
      <c r="D9" s="317"/>
      <c r="E9" s="318" t="s">
        <v>417</v>
      </c>
    </row>
    <row r="10" spans="1:5" ht="31.5" customHeight="1" x14ac:dyDescent="0.25">
      <c r="A10" s="173"/>
      <c r="B10" s="319" t="s">
        <v>341</v>
      </c>
      <c r="C10" s="316">
        <v>1587</v>
      </c>
      <c r="D10" s="320">
        <f>+'Base Imponible y art.14 letra E'!I7</f>
        <v>5000000</v>
      </c>
      <c r="E10" s="318" t="s">
        <v>417</v>
      </c>
    </row>
    <row r="11" spans="1:5" x14ac:dyDescent="0.25">
      <c r="A11" s="173"/>
      <c r="B11" s="315" t="s">
        <v>342</v>
      </c>
      <c r="C11" s="316">
        <v>1588</v>
      </c>
      <c r="D11" s="317">
        <f>+'Base Imponible y art.14 letra E'!I15</f>
        <v>204563</v>
      </c>
      <c r="E11" s="318" t="s">
        <v>417</v>
      </c>
    </row>
    <row r="12" spans="1:5" ht="32.25" customHeight="1" x14ac:dyDescent="0.25">
      <c r="A12" s="173"/>
      <c r="B12" s="319" t="s">
        <v>152</v>
      </c>
      <c r="C12" s="316">
        <v>1404</v>
      </c>
      <c r="D12" s="317"/>
      <c r="E12" s="318" t="s">
        <v>417</v>
      </c>
    </row>
    <row r="13" spans="1:5" ht="16.5" thickBot="1" x14ac:dyDescent="0.3">
      <c r="A13" s="173"/>
      <c r="B13" s="321" t="s">
        <v>145</v>
      </c>
      <c r="C13" s="322">
        <v>1405</v>
      </c>
      <c r="D13" s="323"/>
      <c r="E13" s="324" t="s">
        <v>417</v>
      </c>
    </row>
    <row r="14" spans="1:5" ht="16.5" thickBot="1" x14ac:dyDescent="0.3">
      <c r="A14" s="173"/>
      <c r="B14" s="325" t="s">
        <v>123</v>
      </c>
      <c r="C14" s="326">
        <v>1410</v>
      </c>
      <c r="D14" s="327">
        <f>SUM(D5:D13)</f>
        <v>118210641</v>
      </c>
      <c r="E14" s="328" t="s">
        <v>419</v>
      </c>
    </row>
    <row r="15" spans="1:5" x14ac:dyDescent="0.25">
      <c r="A15" s="173"/>
      <c r="B15" s="329" t="s">
        <v>343</v>
      </c>
      <c r="C15" s="330">
        <v>1406</v>
      </c>
      <c r="D15" s="331"/>
      <c r="E15" s="314" t="s">
        <v>418</v>
      </c>
    </row>
    <row r="16" spans="1:5" x14ac:dyDescent="0.25">
      <c r="A16" s="173"/>
      <c r="B16" s="319" t="s">
        <v>439</v>
      </c>
      <c r="C16" s="332">
        <v>1407</v>
      </c>
      <c r="D16" s="333"/>
      <c r="E16" s="318" t="s">
        <v>418</v>
      </c>
    </row>
    <row r="17" spans="1:10" x14ac:dyDescent="0.25">
      <c r="A17" s="173"/>
      <c r="B17" s="319" t="s">
        <v>440</v>
      </c>
      <c r="C17" s="332">
        <v>1408</v>
      </c>
      <c r="D17" s="333"/>
      <c r="E17" s="318" t="s">
        <v>418</v>
      </c>
    </row>
    <row r="18" spans="1:10" x14ac:dyDescent="0.25">
      <c r="A18" s="173"/>
      <c r="B18" s="319" t="s">
        <v>74</v>
      </c>
      <c r="C18" s="332">
        <v>1409</v>
      </c>
      <c r="D18" s="333">
        <f>-'Base Imponible y art.14 letra E'!I19</f>
        <v>22000000</v>
      </c>
      <c r="E18" s="318" t="s">
        <v>418</v>
      </c>
    </row>
    <row r="19" spans="1:10" ht="25.5" x14ac:dyDescent="0.25">
      <c r="A19" s="173"/>
      <c r="B19" s="319" t="s">
        <v>573</v>
      </c>
      <c r="C19" s="332">
        <v>1818</v>
      </c>
      <c r="D19" s="334">
        <f>-'Base Imponible y art.14 letra E'!I20</f>
        <v>2000000</v>
      </c>
      <c r="E19" s="318" t="s">
        <v>418</v>
      </c>
    </row>
    <row r="20" spans="1:10" x14ac:dyDescent="0.25">
      <c r="A20" s="173"/>
      <c r="B20" s="319" t="s">
        <v>441</v>
      </c>
      <c r="C20" s="332">
        <v>1429</v>
      </c>
      <c r="D20" s="333"/>
      <c r="E20" s="318" t="s">
        <v>418</v>
      </c>
    </row>
    <row r="21" spans="1:10" x14ac:dyDescent="0.25">
      <c r="A21" s="173"/>
      <c r="B21" s="319" t="s">
        <v>442</v>
      </c>
      <c r="C21" s="332">
        <v>1411</v>
      </c>
      <c r="D21" s="333">
        <f>-'Base Imponible y art.14 letra E'!I22</f>
        <v>8505000</v>
      </c>
      <c r="E21" s="318" t="s">
        <v>418</v>
      </c>
    </row>
    <row r="22" spans="1:10" x14ac:dyDescent="0.25">
      <c r="A22" s="173"/>
      <c r="B22" s="319" t="s">
        <v>443</v>
      </c>
      <c r="C22" s="332">
        <v>1412</v>
      </c>
      <c r="D22" s="333">
        <f>-'Base Imponible y art.14 letra E'!I23</f>
        <v>999999.50282485876</v>
      </c>
      <c r="E22" s="318" t="s">
        <v>418</v>
      </c>
    </row>
    <row r="23" spans="1:10" x14ac:dyDescent="0.25">
      <c r="A23" s="173"/>
      <c r="B23" s="319" t="s">
        <v>444</v>
      </c>
      <c r="C23" s="332">
        <v>1413</v>
      </c>
      <c r="D23" s="333">
        <f>-'Base Imponible y art.14 letra E'!I21</f>
        <v>2000000</v>
      </c>
      <c r="E23" s="318" t="s">
        <v>418</v>
      </c>
    </row>
    <row r="24" spans="1:10" x14ac:dyDescent="0.25">
      <c r="A24" s="173"/>
      <c r="B24" s="319" t="s">
        <v>445</v>
      </c>
      <c r="C24" s="332">
        <v>1414</v>
      </c>
      <c r="D24" s="333"/>
      <c r="E24" s="318" t="s">
        <v>418</v>
      </c>
    </row>
    <row r="25" spans="1:10" x14ac:dyDescent="0.25">
      <c r="A25" s="173"/>
      <c r="B25" s="319" t="s">
        <v>446</v>
      </c>
      <c r="C25" s="332">
        <v>1415</v>
      </c>
      <c r="D25" s="333">
        <f>-'Base Imponible y art.14 letra E'!I25</f>
        <v>860000</v>
      </c>
      <c r="E25" s="318" t="s">
        <v>418</v>
      </c>
    </row>
    <row r="26" spans="1:10" x14ac:dyDescent="0.25">
      <c r="A26" s="173"/>
      <c r="B26" s="319" t="s">
        <v>124</v>
      </c>
      <c r="C26" s="332">
        <v>1416</v>
      </c>
      <c r="D26" s="333"/>
      <c r="E26" s="318" t="s">
        <v>418</v>
      </c>
      <c r="H26" s="624"/>
      <c r="I26" s="624"/>
      <c r="J26" s="624"/>
    </row>
    <row r="27" spans="1:10" x14ac:dyDescent="0.25">
      <c r="A27" s="173"/>
      <c r="B27" s="319" t="s">
        <v>125</v>
      </c>
      <c r="C27" s="332">
        <v>1417</v>
      </c>
      <c r="D27" s="333"/>
      <c r="E27" s="318" t="s">
        <v>418</v>
      </c>
    </row>
    <row r="28" spans="1:10" x14ac:dyDescent="0.25">
      <c r="A28" s="173"/>
      <c r="B28" s="319" t="s">
        <v>126</v>
      </c>
      <c r="C28" s="332">
        <v>1418</v>
      </c>
      <c r="D28" s="335"/>
      <c r="E28" s="318" t="s">
        <v>418</v>
      </c>
    </row>
    <row r="29" spans="1:10" x14ac:dyDescent="0.25">
      <c r="A29" s="173"/>
      <c r="B29" s="319" t="s">
        <v>447</v>
      </c>
      <c r="C29" s="316">
        <v>1419</v>
      </c>
      <c r="D29" s="336">
        <f>-'Base Imponible y art.14 letra E'!I26</f>
        <v>280000</v>
      </c>
      <c r="E29" s="337" t="s">
        <v>418</v>
      </c>
    </row>
    <row r="30" spans="1:10" x14ac:dyDescent="0.25">
      <c r="A30" s="173"/>
      <c r="B30" s="319" t="s">
        <v>354</v>
      </c>
      <c r="C30" s="332">
        <v>1420</v>
      </c>
      <c r="D30" s="338"/>
      <c r="E30" s="318" t="s">
        <v>418</v>
      </c>
    </row>
    <row r="31" spans="1:10" x14ac:dyDescent="0.25">
      <c r="A31" s="173"/>
      <c r="B31" s="319" t="s">
        <v>355</v>
      </c>
      <c r="C31" s="332">
        <v>1421</v>
      </c>
      <c r="D31" s="333"/>
      <c r="E31" s="318" t="s">
        <v>418</v>
      </c>
    </row>
    <row r="32" spans="1:10" x14ac:dyDescent="0.25">
      <c r="A32" s="173"/>
      <c r="B32" s="319" t="s">
        <v>356</v>
      </c>
      <c r="C32" s="332">
        <v>1422</v>
      </c>
      <c r="D32" s="333">
        <f>-'Base Imponible y art.14 letra E'!I27-'Base Imponible y art.14 letra E'!I28</f>
        <v>2440000</v>
      </c>
      <c r="E32" s="318" t="s">
        <v>418</v>
      </c>
    </row>
    <row r="33" spans="1:5" x14ac:dyDescent="0.25">
      <c r="A33" s="173"/>
      <c r="B33" s="319" t="s">
        <v>357</v>
      </c>
      <c r="C33" s="332">
        <v>1423</v>
      </c>
      <c r="D33" s="335"/>
      <c r="E33" s="318" t="s">
        <v>418</v>
      </c>
    </row>
    <row r="34" spans="1:5" x14ac:dyDescent="0.25">
      <c r="A34" s="173"/>
      <c r="B34" s="319" t="s">
        <v>358</v>
      </c>
      <c r="C34" s="316">
        <v>1424</v>
      </c>
      <c r="D34" s="336">
        <f>-'Base Imponible y art.14 letra E'!I24</f>
        <v>201000</v>
      </c>
      <c r="E34" s="337" t="s">
        <v>418</v>
      </c>
    </row>
    <row r="35" spans="1:5" ht="25.5" x14ac:dyDescent="0.25">
      <c r="A35" s="173"/>
      <c r="B35" s="319" t="s">
        <v>359</v>
      </c>
      <c r="C35" s="330">
        <v>1425</v>
      </c>
      <c r="D35" s="338"/>
      <c r="E35" s="314" t="s">
        <v>418</v>
      </c>
    </row>
    <row r="36" spans="1:5" x14ac:dyDescent="0.25">
      <c r="A36" s="173"/>
      <c r="B36" s="319" t="s">
        <v>360</v>
      </c>
      <c r="C36" s="330">
        <v>1426</v>
      </c>
      <c r="D36" s="339"/>
      <c r="E36" s="314" t="s">
        <v>418</v>
      </c>
    </row>
    <row r="37" spans="1:5" ht="18.75" customHeight="1" x14ac:dyDescent="0.25">
      <c r="A37" s="173"/>
      <c r="B37" s="319" t="s">
        <v>361</v>
      </c>
      <c r="C37" s="330">
        <v>1427</v>
      </c>
      <c r="D37" s="338"/>
      <c r="E37" s="314" t="s">
        <v>418</v>
      </c>
    </row>
    <row r="38" spans="1:5" ht="16.5" thickBot="1" x14ac:dyDescent="0.3">
      <c r="A38" s="173"/>
      <c r="B38" s="321" t="s">
        <v>469</v>
      </c>
      <c r="C38" s="340">
        <v>1428</v>
      </c>
      <c r="D38" s="341"/>
      <c r="E38" s="324" t="s">
        <v>418</v>
      </c>
    </row>
    <row r="39" spans="1:5" ht="16.5" thickBot="1" x14ac:dyDescent="0.3">
      <c r="A39" s="173"/>
      <c r="B39" s="325" t="s">
        <v>127</v>
      </c>
      <c r="C39" s="326">
        <v>1430</v>
      </c>
      <c r="D39" s="327">
        <f>SUM(D15:D38)</f>
        <v>39285999.502824858</v>
      </c>
      <c r="E39" s="342" t="s">
        <v>419</v>
      </c>
    </row>
    <row r="40" spans="1:5" ht="26.25" thickBot="1" x14ac:dyDescent="0.3">
      <c r="A40" s="173"/>
      <c r="B40" s="343" t="s">
        <v>128</v>
      </c>
      <c r="C40" s="340">
        <v>1431</v>
      </c>
      <c r="D40" s="344">
        <f>+D32</f>
        <v>2440000</v>
      </c>
      <c r="E40" s="324" t="s">
        <v>417</v>
      </c>
    </row>
    <row r="41" spans="1:5" ht="26.25" thickBot="1" x14ac:dyDescent="0.3">
      <c r="A41" s="173"/>
      <c r="B41" s="345" t="s">
        <v>129</v>
      </c>
      <c r="C41" s="326">
        <v>1729</v>
      </c>
      <c r="D41" s="346">
        <f>+D14-D39+D40</f>
        <v>81364641.497175142</v>
      </c>
      <c r="E41" s="328" t="s">
        <v>419</v>
      </c>
    </row>
    <row r="42" spans="1:5" x14ac:dyDescent="0.25">
      <c r="A42" s="173"/>
      <c r="B42" s="329" t="s">
        <v>470</v>
      </c>
      <c r="C42" s="330">
        <v>1432</v>
      </c>
      <c r="D42" s="338">
        <f>-'Base Imponible y art.14 letra E'!K37</f>
        <v>31462321</v>
      </c>
      <c r="E42" s="314" t="s">
        <v>418</v>
      </c>
    </row>
    <row r="43" spans="1:5" ht="34.5" customHeight="1" thickBot="1" x14ac:dyDescent="0.3">
      <c r="A43" s="173"/>
      <c r="B43" s="321" t="s">
        <v>62</v>
      </c>
      <c r="C43" s="340">
        <v>1433</v>
      </c>
      <c r="D43" s="341"/>
      <c r="E43" s="324" t="s">
        <v>418</v>
      </c>
    </row>
    <row r="44" spans="1:5" ht="26.25" thickBot="1" x14ac:dyDescent="0.3">
      <c r="A44" s="173"/>
      <c r="B44" s="347" t="s">
        <v>471</v>
      </c>
      <c r="C44" s="326">
        <v>1440</v>
      </c>
      <c r="D44" s="327">
        <f>+D41-D42-D43</f>
        <v>49902320.497175142</v>
      </c>
      <c r="E44" s="342" t="s">
        <v>419</v>
      </c>
    </row>
    <row r="45" spans="1:5" ht="16.5" thickBot="1" x14ac:dyDescent="0.3">
      <c r="A45" s="173"/>
      <c r="B45" s="615" t="s">
        <v>472</v>
      </c>
      <c r="C45" s="616"/>
      <c r="D45" s="616"/>
      <c r="E45" s="617"/>
    </row>
    <row r="46" spans="1:5" x14ac:dyDescent="0.25">
      <c r="A46" s="173"/>
      <c r="B46" s="348" t="s">
        <v>63</v>
      </c>
      <c r="C46" s="349">
        <v>1434</v>
      </c>
      <c r="D46" s="350"/>
      <c r="E46" s="351" t="s">
        <v>417</v>
      </c>
    </row>
    <row r="47" spans="1:5" ht="26.25" thickBot="1" x14ac:dyDescent="0.3">
      <c r="A47" s="173"/>
      <c r="B47" s="352" t="s">
        <v>64</v>
      </c>
      <c r="C47" s="353">
        <v>1435</v>
      </c>
      <c r="D47" s="354"/>
      <c r="E47" s="355" t="s">
        <v>417</v>
      </c>
    </row>
    <row r="48" spans="1:5" ht="16.5" thickBot="1" x14ac:dyDescent="0.3">
      <c r="A48" s="173"/>
      <c r="B48" s="356" t="s">
        <v>277</v>
      </c>
      <c r="C48" s="353">
        <v>1450</v>
      </c>
      <c r="D48" s="354"/>
      <c r="E48" s="357" t="s">
        <v>419</v>
      </c>
    </row>
    <row r="49" spans="1:5" x14ac:dyDescent="0.25">
      <c r="A49" s="173"/>
      <c r="B49" s="173"/>
      <c r="C49" s="173"/>
      <c r="D49" s="173"/>
      <c r="E49" s="173"/>
    </row>
    <row r="50" spans="1:5" x14ac:dyDescent="0.25">
      <c r="A50" s="173"/>
      <c r="B50" s="150"/>
      <c r="C50" s="173"/>
      <c r="D50" s="173"/>
      <c r="E50" s="173"/>
    </row>
  </sheetData>
  <mergeCells count="3">
    <mergeCell ref="B45:E45"/>
    <mergeCell ref="B2:E3"/>
    <mergeCell ref="H26:J26"/>
  </mergeCells>
  <phoneticPr fontId="33" type="noConversion"/>
  <pageMargins left="0.70866141732283472" right="0.70866141732283472" top="0.74803149606299213" bottom="0.74803149606299213" header="0.31496062992125984" footer="0.31496062992125984"/>
  <rowBreaks count="1" manualBreakCount="1">
    <brk id="28" min="1" max="13" man="1"/>
  </rowBreaks>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G20"/>
  <sheetViews>
    <sheetView showGridLines="0" zoomScale="90" zoomScaleNormal="90" zoomScalePageLayoutView="90" workbookViewId="0">
      <selection activeCell="J23" sqref="J23"/>
    </sheetView>
  </sheetViews>
  <sheetFormatPr baseColWidth="10" defaultColWidth="9.140625" defaultRowHeight="15" x14ac:dyDescent="0.25"/>
  <cols>
    <col min="1" max="1" width="4.42578125" style="1" customWidth="1"/>
    <col min="2" max="2" width="10" style="1" customWidth="1"/>
    <col min="3" max="3" width="18" style="1" customWidth="1"/>
    <col min="4" max="4" width="20.85546875" style="1" customWidth="1"/>
    <col min="5" max="5" width="14" style="1" customWidth="1"/>
    <col min="6" max="6" width="13.42578125" style="1" customWidth="1"/>
    <col min="7" max="7" width="15.85546875" style="1" customWidth="1"/>
    <col min="8" max="8" width="12.42578125" style="1" customWidth="1"/>
    <col min="9" max="9" width="13.42578125" style="1" customWidth="1"/>
    <col min="10" max="10" width="10.85546875" style="1" customWidth="1"/>
    <col min="11" max="11" width="11.85546875" style="1" customWidth="1"/>
    <col min="12" max="16384" width="9.140625" style="1"/>
  </cols>
  <sheetData>
    <row r="2" spans="1:7" ht="15.75" thickBot="1" x14ac:dyDescent="0.3"/>
    <row r="3" spans="1:7" ht="19.5" customHeight="1" thickBot="1" x14ac:dyDescent="0.3">
      <c r="A3" s="108"/>
      <c r="B3" s="599" t="s">
        <v>25</v>
      </c>
      <c r="C3" s="600"/>
      <c r="D3" s="600"/>
      <c r="E3" s="600"/>
      <c r="F3" s="601"/>
    </row>
    <row r="4" spans="1:7" x14ac:dyDescent="0.25">
      <c r="B4" s="297"/>
      <c r="C4" s="298"/>
      <c r="D4" s="299"/>
      <c r="E4" s="228"/>
      <c r="F4" s="523" t="s">
        <v>593</v>
      </c>
    </row>
    <row r="5" spans="1:7" x14ac:dyDescent="0.25">
      <c r="B5" s="625" t="s">
        <v>26</v>
      </c>
      <c r="C5" s="626"/>
      <c r="D5" s="626"/>
      <c r="E5" s="626"/>
      <c r="F5" s="524">
        <f>+'CPT Simplificado'!F13</f>
        <v>115075366.49717514</v>
      </c>
    </row>
    <row r="6" spans="1:7" x14ac:dyDescent="0.25">
      <c r="B6" s="297" t="s">
        <v>34</v>
      </c>
      <c r="C6" s="298"/>
      <c r="D6" s="299"/>
      <c r="E6" s="228"/>
      <c r="F6" s="524">
        <f>+Antecedentes!E82</f>
        <v>16000000</v>
      </c>
    </row>
    <row r="7" spans="1:7" x14ac:dyDescent="0.25">
      <c r="B7" s="297" t="s">
        <v>393</v>
      </c>
      <c r="C7" s="298"/>
      <c r="D7" s="299"/>
      <c r="E7" s="228"/>
      <c r="F7" s="525">
        <f>-RTRE!H17-RTRE!I17</f>
        <v>-160000</v>
      </c>
      <c r="G7" s="113"/>
    </row>
    <row r="8" spans="1:7" x14ac:dyDescent="0.25">
      <c r="B8" s="627" t="s">
        <v>35</v>
      </c>
      <c r="C8" s="628"/>
      <c r="D8" s="628"/>
      <c r="E8" s="628"/>
      <c r="F8" s="526">
        <f>-Antecedentes!L14</f>
        <v>-30600000</v>
      </c>
    </row>
    <row r="9" spans="1:7" ht="15.75" thickBot="1" x14ac:dyDescent="0.3">
      <c r="B9" s="359" t="s">
        <v>577</v>
      </c>
      <c r="C9" s="360"/>
      <c r="D9" s="361"/>
      <c r="E9" s="182"/>
      <c r="F9" s="527">
        <f>SUM(F4:F8)</f>
        <v>100315366.49717514</v>
      </c>
    </row>
    <row r="10" spans="1:7" x14ac:dyDescent="0.25">
      <c r="B10" s="363"/>
      <c r="C10" s="298"/>
      <c r="D10" s="299"/>
      <c r="E10" s="228"/>
      <c r="F10" s="364"/>
    </row>
    <row r="11" spans="1:7" x14ac:dyDescent="0.25">
      <c r="B11" s="140"/>
      <c r="C11" s="140"/>
      <c r="D11" s="140"/>
      <c r="E11" s="140"/>
      <c r="F11" s="140"/>
    </row>
    <row r="14" spans="1:7" x14ac:dyDescent="0.25">
      <c r="C14" s="3"/>
      <c r="D14" s="3"/>
      <c r="E14" s="3"/>
    </row>
    <row r="18" spans="3:5" ht="36.75" customHeight="1" x14ac:dyDescent="0.25"/>
    <row r="20" spans="3:5" x14ac:dyDescent="0.25">
      <c r="C20" s="3"/>
      <c r="D20" s="3"/>
      <c r="E20" s="3"/>
    </row>
  </sheetData>
  <mergeCells count="3">
    <mergeCell ref="B3:F3"/>
    <mergeCell ref="B5:E5"/>
    <mergeCell ref="B8:E8"/>
  </mergeCells>
  <phoneticPr fontId="33"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GE17"/>
  <sheetViews>
    <sheetView showGridLines="0" topLeftCell="FW1" zoomScaleSheetLayoutView="100" workbookViewId="0">
      <selection activeCell="GE10" sqref="GE10"/>
    </sheetView>
  </sheetViews>
  <sheetFormatPr baseColWidth="10" defaultColWidth="11.42578125" defaultRowHeight="15.75" x14ac:dyDescent="0.25"/>
  <cols>
    <col min="1" max="1" width="0.85546875" style="114" customWidth="1"/>
    <col min="2" max="2" width="91" style="114" customWidth="1"/>
    <col min="3" max="3" width="8.140625" style="114" customWidth="1"/>
    <col min="4" max="4" width="22.140625" style="114" customWidth="1"/>
    <col min="5" max="12" width="4.85546875" style="114" customWidth="1"/>
    <col min="13" max="13" width="5.85546875" style="114" customWidth="1"/>
    <col min="14" max="19" width="4.85546875" style="114" customWidth="1"/>
    <col min="20" max="16384" width="11.42578125" style="114"/>
  </cols>
  <sheetData>
    <row r="1" spans="2:187" ht="16.5" thickBot="1" x14ac:dyDescent="0.3"/>
    <row r="2" spans="2:187" x14ac:dyDescent="0.25">
      <c r="B2" s="629" t="s">
        <v>574</v>
      </c>
      <c r="C2" s="619"/>
      <c r="D2" s="619"/>
      <c r="E2" s="620"/>
    </row>
    <row r="3" spans="2:187" ht="16.5" thickBot="1" x14ac:dyDescent="0.3">
      <c r="B3" s="621"/>
      <c r="C3" s="622"/>
      <c r="D3" s="622"/>
      <c r="E3" s="623"/>
    </row>
    <row r="4" spans="2:187" x14ac:dyDescent="0.25">
      <c r="B4" s="311" t="s">
        <v>4</v>
      </c>
      <c r="C4" s="365">
        <v>1703</v>
      </c>
      <c r="D4" s="366">
        <f>+'RAI Final'!F5</f>
        <v>115075366.49717514</v>
      </c>
      <c r="E4" s="367" t="s">
        <v>417</v>
      </c>
    </row>
    <row r="5" spans="2:187" x14ac:dyDescent="0.25">
      <c r="B5" s="315" t="s">
        <v>3</v>
      </c>
      <c r="C5" s="368">
        <v>1719</v>
      </c>
      <c r="D5" s="369"/>
      <c r="E5" s="370" t="s">
        <v>418</v>
      </c>
    </row>
    <row r="6" spans="2:187" x14ac:dyDescent="0.25">
      <c r="B6" s="315" t="s">
        <v>278</v>
      </c>
      <c r="C6" s="368">
        <v>1492</v>
      </c>
      <c r="D6" s="369"/>
      <c r="E6" s="370" t="s">
        <v>417</v>
      </c>
    </row>
    <row r="7" spans="2:187" x14ac:dyDescent="0.25">
      <c r="B7" s="315" t="s">
        <v>575</v>
      </c>
      <c r="C7" s="368">
        <v>1704</v>
      </c>
      <c r="D7" s="369">
        <f>+'RAI Final'!F6</f>
        <v>16000000</v>
      </c>
      <c r="E7" s="370" t="s">
        <v>417</v>
      </c>
    </row>
    <row r="8" spans="2:187" x14ac:dyDescent="0.25">
      <c r="B8" s="371" t="s">
        <v>279</v>
      </c>
      <c r="C8" s="368">
        <v>1720</v>
      </c>
      <c r="D8" s="372">
        <f>SUM(D4:D7)</f>
        <v>131075366.49717514</v>
      </c>
      <c r="E8" s="370" t="s">
        <v>419</v>
      </c>
    </row>
    <row r="9" spans="2:187" x14ac:dyDescent="0.25">
      <c r="B9" s="315" t="s">
        <v>280</v>
      </c>
      <c r="C9" s="373">
        <v>1493</v>
      </c>
      <c r="D9" s="336">
        <f>-'RAI Final'!F7</f>
        <v>160000</v>
      </c>
      <c r="E9" s="374" t="s">
        <v>418</v>
      </c>
    </row>
    <row r="10" spans="2:187" x14ac:dyDescent="0.25">
      <c r="B10" s="315" t="s">
        <v>154</v>
      </c>
      <c r="C10" s="373">
        <v>1494</v>
      </c>
      <c r="D10" s="336">
        <f>-'RAI Final'!F8</f>
        <v>30600000</v>
      </c>
      <c r="E10" s="374" t="s">
        <v>418</v>
      </c>
      <c r="GE10" s="115"/>
    </row>
    <row r="11" spans="2:187" ht="18.75" customHeight="1" x14ac:dyDescent="0.25">
      <c r="B11" s="319" t="s">
        <v>388</v>
      </c>
      <c r="C11" s="368">
        <v>1725</v>
      </c>
      <c r="D11" s="366"/>
      <c r="E11" s="370" t="s">
        <v>418</v>
      </c>
    </row>
    <row r="12" spans="2:187" ht="16.5" thickBot="1" x14ac:dyDescent="0.3">
      <c r="B12" s="321" t="s">
        <v>155</v>
      </c>
      <c r="C12" s="375">
        <v>1727</v>
      </c>
      <c r="D12" s="376"/>
      <c r="E12" s="367" t="s">
        <v>418</v>
      </c>
    </row>
    <row r="13" spans="2:187" ht="33.75" customHeight="1" thickBot="1" x14ac:dyDescent="0.3">
      <c r="B13" s="377" t="s">
        <v>156</v>
      </c>
      <c r="C13" s="378">
        <v>1500</v>
      </c>
      <c r="D13" s="379">
        <f>+D8-SUM(D9:D12)</f>
        <v>100315366.49717514</v>
      </c>
      <c r="E13" s="380" t="s">
        <v>419</v>
      </c>
    </row>
    <row r="15" spans="2:187" x14ac:dyDescent="0.25">
      <c r="B15" s="132"/>
    </row>
    <row r="17" spans="2:2" x14ac:dyDescent="0.25">
      <c r="B17" s="115"/>
    </row>
  </sheetData>
  <mergeCells count="1">
    <mergeCell ref="B2:E3"/>
  </mergeCells>
  <phoneticPr fontId="33" type="noConversion"/>
  <pageMargins left="0.35" right="0.63" top="0.75" bottom="0.75" header="0.3" footer="0.3"/>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F14"/>
  <sheetViews>
    <sheetView showGridLines="0" zoomScale="120" zoomScaleNormal="120" zoomScalePageLayoutView="120" workbookViewId="0">
      <selection activeCell="I30" sqref="I30"/>
    </sheetView>
  </sheetViews>
  <sheetFormatPr baseColWidth="10" defaultColWidth="9.140625" defaultRowHeight="15" x14ac:dyDescent="0.25"/>
  <cols>
    <col min="1" max="1" width="2.42578125" style="1" customWidth="1"/>
    <col min="2" max="2" width="10" style="1" customWidth="1"/>
    <col min="3" max="3" width="24.42578125" style="1" customWidth="1"/>
    <col min="4" max="4" width="16.85546875" style="1" customWidth="1"/>
    <col min="5" max="5" width="14" style="1" customWidth="1"/>
    <col min="6" max="6" width="18.140625" style="1" customWidth="1"/>
    <col min="7" max="8" width="15.85546875" style="1" customWidth="1"/>
    <col min="9" max="9" width="12.42578125" style="1" customWidth="1"/>
    <col min="10" max="10" width="2.42578125" style="1" customWidth="1"/>
    <col min="11" max="11" width="10.85546875" style="1" customWidth="1"/>
    <col min="12" max="12" width="11.85546875" style="1" customWidth="1"/>
    <col min="13" max="16384" width="9.140625" style="1"/>
  </cols>
  <sheetData>
    <row r="2" spans="1:6" ht="15.75" thickBot="1" x14ac:dyDescent="0.3"/>
    <row r="3" spans="1:6" ht="19.5" thickBot="1" x14ac:dyDescent="0.3">
      <c r="A3" s="108"/>
      <c r="B3" s="630" t="s">
        <v>5</v>
      </c>
      <c r="C3" s="631"/>
      <c r="D3" s="631"/>
      <c r="E3" s="631"/>
      <c r="F3" s="632"/>
    </row>
    <row r="4" spans="1:6" x14ac:dyDescent="0.25">
      <c r="B4" s="297"/>
      <c r="C4" s="298"/>
      <c r="D4" s="299"/>
      <c r="E4" s="228"/>
      <c r="F4" s="358" t="s">
        <v>593</v>
      </c>
    </row>
    <row r="5" spans="1:6" x14ac:dyDescent="0.25">
      <c r="B5" s="297" t="s">
        <v>36</v>
      </c>
      <c r="C5" s="298"/>
      <c r="D5" s="299"/>
      <c r="E5" s="228"/>
      <c r="F5" s="255">
        <f>+Antecedentes!I61</f>
        <v>54030000</v>
      </c>
    </row>
    <row r="6" spans="1:6" x14ac:dyDescent="0.25">
      <c r="B6" s="297" t="s">
        <v>384</v>
      </c>
      <c r="C6" s="140"/>
      <c r="D6" s="140"/>
      <c r="E6" s="140"/>
      <c r="F6" s="255">
        <f>+'Base Imponible y art.14 letra E'!K39</f>
        <v>49902320.497175142</v>
      </c>
    </row>
    <row r="7" spans="1:6" x14ac:dyDescent="0.25">
      <c r="B7" s="297" t="s">
        <v>468</v>
      </c>
      <c r="C7" s="140"/>
      <c r="D7" s="140"/>
      <c r="E7" s="140"/>
      <c r="F7" s="255">
        <f>+Antecedentes!L37</f>
        <v>720000</v>
      </c>
    </row>
    <row r="8" spans="1:6" x14ac:dyDescent="0.25">
      <c r="B8" s="297" t="s">
        <v>48</v>
      </c>
      <c r="C8" s="298"/>
      <c r="D8" s="299"/>
      <c r="E8" s="228"/>
      <c r="F8" s="255">
        <f>-'RAI Final'!F6</f>
        <v>-16000000</v>
      </c>
    </row>
    <row r="9" spans="1:6" x14ac:dyDescent="0.25">
      <c r="B9" s="297" t="s">
        <v>15</v>
      </c>
      <c r="C9" s="298"/>
      <c r="D9" s="299"/>
      <c r="E9" s="228"/>
      <c r="F9" s="265">
        <f>-Antecedentes!L54</f>
        <v>-140000</v>
      </c>
    </row>
    <row r="10" spans="1:6" x14ac:dyDescent="0.25">
      <c r="B10" s="297" t="s">
        <v>0</v>
      </c>
      <c r="C10" s="298"/>
      <c r="D10" s="299"/>
      <c r="E10" s="228"/>
      <c r="F10" s="265">
        <f>-Antecedentes!L55</f>
        <v>-2300000</v>
      </c>
    </row>
    <row r="11" spans="1:6" x14ac:dyDescent="0.25">
      <c r="B11" s="297" t="s">
        <v>112</v>
      </c>
      <c r="C11" s="382"/>
      <c r="D11" s="146"/>
      <c r="E11" s="140"/>
      <c r="F11" s="266">
        <f>-'Crédito IPE'!K46</f>
        <v>-2599275</v>
      </c>
    </row>
    <row r="12" spans="1:6" x14ac:dyDescent="0.25">
      <c r="B12" s="297" t="s">
        <v>400</v>
      </c>
      <c r="C12" s="298"/>
      <c r="D12" s="299"/>
      <c r="E12" s="228"/>
      <c r="F12" s="256">
        <f>-'Base Imponible y art.14 letra E'!K37</f>
        <v>31462321</v>
      </c>
    </row>
    <row r="13" spans="1:6" x14ac:dyDescent="0.25">
      <c r="B13" s="383" t="s">
        <v>394</v>
      </c>
      <c r="C13" s="360"/>
      <c r="D13" s="361"/>
      <c r="E13" s="182"/>
      <c r="F13" s="362">
        <f>SUM(F4:F12)</f>
        <v>115075366.49717514</v>
      </c>
    </row>
    <row r="14" spans="1:6" ht="15.75" x14ac:dyDescent="0.25">
      <c r="F14" s="109"/>
    </row>
  </sheetData>
  <mergeCells count="1">
    <mergeCell ref="B3:F3"/>
  </mergeCells>
  <phoneticPr fontId="33"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E27"/>
  <sheetViews>
    <sheetView showGridLines="0" workbookViewId="0">
      <selection activeCell="G10" sqref="G10"/>
    </sheetView>
  </sheetViews>
  <sheetFormatPr baseColWidth="10" defaultColWidth="11.42578125" defaultRowHeight="15.75" x14ac:dyDescent="0.25"/>
  <cols>
    <col min="1" max="1" width="1.85546875" style="114" customWidth="1"/>
    <col min="2" max="2" width="92.42578125" style="114" bestFit="1" customWidth="1"/>
    <col min="3" max="3" width="5.42578125" style="114" bestFit="1" customWidth="1"/>
    <col min="4" max="4" width="15.140625" style="114" customWidth="1"/>
    <col min="5" max="19" width="4.85546875" style="114" customWidth="1"/>
    <col min="20" max="16384" width="11.42578125" style="114"/>
  </cols>
  <sheetData>
    <row r="1" spans="2:5" ht="16.5" thickBot="1" x14ac:dyDescent="0.3"/>
    <row r="2" spans="2:5" x14ac:dyDescent="0.25">
      <c r="B2" s="629" t="s">
        <v>157</v>
      </c>
      <c r="C2" s="633"/>
      <c r="D2" s="633"/>
      <c r="E2" s="634"/>
    </row>
    <row r="3" spans="2:5" ht="24" customHeight="1" thickBot="1" x14ac:dyDescent="0.3">
      <c r="B3" s="635"/>
      <c r="C3" s="636"/>
      <c r="D3" s="636"/>
      <c r="E3" s="637"/>
    </row>
    <row r="4" spans="2:5" x14ac:dyDescent="0.25">
      <c r="B4" s="329" t="s">
        <v>576</v>
      </c>
      <c r="C4" s="365">
        <v>1445</v>
      </c>
      <c r="D4" s="366">
        <f>+'CPT Simplificado'!F5</f>
        <v>54030000</v>
      </c>
      <c r="E4" s="367" t="s">
        <v>417</v>
      </c>
    </row>
    <row r="5" spans="2:5" x14ac:dyDescent="0.25">
      <c r="B5" s="319" t="s">
        <v>616</v>
      </c>
      <c r="C5" s="365">
        <v>1446</v>
      </c>
      <c r="D5" s="369"/>
      <c r="E5" s="370" t="s">
        <v>418</v>
      </c>
    </row>
    <row r="6" spans="2:5" x14ac:dyDescent="0.25">
      <c r="B6" s="319" t="s">
        <v>617</v>
      </c>
      <c r="C6" s="365">
        <v>1374</v>
      </c>
      <c r="D6" s="369"/>
      <c r="E6" s="370" t="s">
        <v>417</v>
      </c>
    </row>
    <row r="7" spans="2:5" x14ac:dyDescent="0.25">
      <c r="B7" s="319" t="s">
        <v>389</v>
      </c>
      <c r="C7" s="384">
        <v>1375</v>
      </c>
      <c r="D7" s="369"/>
      <c r="E7" s="370" t="s">
        <v>417</v>
      </c>
    </row>
    <row r="8" spans="2:5" x14ac:dyDescent="0.25">
      <c r="B8" s="319" t="s">
        <v>390</v>
      </c>
      <c r="C8" s="365">
        <v>1376</v>
      </c>
      <c r="D8" s="369"/>
      <c r="E8" s="370" t="s">
        <v>418</v>
      </c>
    </row>
    <row r="9" spans="2:5" x14ac:dyDescent="0.25">
      <c r="B9" s="319" t="s">
        <v>391</v>
      </c>
      <c r="C9" s="384">
        <v>1705</v>
      </c>
      <c r="D9" s="369">
        <f>+'CPT Simplificado'!F6</f>
        <v>49902320.497175142</v>
      </c>
      <c r="E9" s="370" t="s">
        <v>417</v>
      </c>
    </row>
    <row r="10" spans="2:5" ht="15.75" customHeight="1" x14ac:dyDescent="0.25">
      <c r="B10" s="319" t="s">
        <v>277</v>
      </c>
      <c r="C10" s="365">
        <v>1706</v>
      </c>
      <c r="D10" s="369"/>
      <c r="E10" s="370" t="s">
        <v>418</v>
      </c>
    </row>
    <row r="11" spans="2:5" ht="15.75" customHeight="1" x14ac:dyDescent="0.25">
      <c r="B11" s="319" t="s">
        <v>360</v>
      </c>
      <c r="C11" s="365">
        <v>1707</v>
      </c>
      <c r="D11" s="369"/>
      <c r="E11" s="370" t="s">
        <v>417</v>
      </c>
    </row>
    <row r="12" spans="2:5" ht="15.75" customHeight="1" x14ac:dyDescent="0.25">
      <c r="B12" s="385" t="s">
        <v>392</v>
      </c>
      <c r="C12" s="368">
        <v>1377</v>
      </c>
      <c r="D12" s="369"/>
      <c r="E12" s="370" t="s">
        <v>417</v>
      </c>
    </row>
    <row r="13" spans="2:5" ht="15.75" customHeight="1" x14ac:dyDescent="0.25">
      <c r="B13" s="319" t="s">
        <v>287</v>
      </c>
      <c r="C13" s="368">
        <v>1378</v>
      </c>
      <c r="D13" s="369"/>
      <c r="E13" s="370" t="s">
        <v>418</v>
      </c>
    </row>
    <row r="14" spans="2:5" ht="15.75" customHeight="1" x14ac:dyDescent="0.25">
      <c r="B14" s="319" t="s">
        <v>288</v>
      </c>
      <c r="C14" s="368">
        <v>1726</v>
      </c>
      <c r="D14" s="369">
        <f>+'CPT Simplificado'!F7</f>
        <v>720000</v>
      </c>
      <c r="E14" s="370" t="s">
        <v>417</v>
      </c>
    </row>
    <row r="15" spans="2:5" ht="15.75" customHeight="1" x14ac:dyDescent="0.25">
      <c r="B15" s="319" t="s">
        <v>289</v>
      </c>
      <c r="C15" s="368">
        <v>1591</v>
      </c>
      <c r="D15" s="369"/>
      <c r="E15" s="370" t="s">
        <v>418</v>
      </c>
    </row>
    <row r="16" spans="2:5" ht="15.75" customHeight="1" x14ac:dyDescent="0.25">
      <c r="B16" s="319" t="s">
        <v>158</v>
      </c>
      <c r="C16" s="368">
        <v>1479</v>
      </c>
      <c r="D16" s="369">
        <f>-'CPT Simplificado'!F8</f>
        <v>16000000</v>
      </c>
      <c r="E16" s="370" t="s">
        <v>418</v>
      </c>
    </row>
    <row r="17" spans="2:5" ht="15.75" customHeight="1" x14ac:dyDescent="0.25">
      <c r="B17" s="319" t="s">
        <v>618</v>
      </c>
      <c r="C17" s="368">
        <v>1708</v>
      </c>
      <c r="D17" s="369">
        <f>-'CPT Simplificado'!F9-'CPT Simplificado'!F10</f>
        <v>2440000</v>
      </c>
      <c r="E17" s="370" t="s">
        <v>418</v>
      </c>
    </row>
    <row r="18" spans="2:5" ht="33.75" customHeight="1" x14ac:dyDescent="0.25">
      <c r="B18" s="319" t="s">
        <v>152</v>
      </c>
      <c r="C18" s="368">
        <v>1709</v>
      </c>
      <c r="D18" s="369"/>
      <c r="E18" s="370" t="s">
        <v>418</v>
      </c>
    </row>
    <row r="19" spans="2:5" ht="15.75" customHeight="1" x14ac:dyDescent="0.25">
      <c r="B19" s="319" t="s">
        <v>290</v>
      </c>
      <c r="C19" s="368">
        <v>1379</v>
      </c>
      <c r="D19" s="386">
        <f>'Crédito IPE'!K46</f>
        <v>2599275</v>
      </c>
      <c r="E19" s="370" t="s">
        <v>418</v>
      </c>
    </row>
    <row r="20" spans="2:5" ht="15.75" customHeight="1" x14ac:dyDescent="0.25">
      <c r="B20" s="319" t="s">
        <v>470</v>
      </c>
      <c r="C20" s="368">
        <v>1710</v>
      </c>
      <c r="D20" s="369">
        <f>+'CPT Simplificado'!F12</f>
        <v>31462321</v>
      </c>
      <c r="E20" s="370" t="s">
        <v>417</v>
      </c>
    </row>
    <row r="21" spans="2:5" ht="15.75" customHeight="1" x14ac:dyDescent="0.25">
      <c r="B21" s="319" t="s">
        <v>291</v>
      </c>
      <c r="C21" s="368">
        <v>1711</v>
      </c>
      <c r="D21" s="369"/>
      <c r="E21" s="370" t="s">
        <v>417</v>
      </c>
    </row>
    <row r="22" spans="2:5" ht="15.75" customHeight="1" x14ac:dyDescent="0.25">
      <c r="B22" s="319" t="s">
        <v>292</v>
      </c>
      <c r="C22" s="368">
        <v>1380</v>
      </c>
      <c r="D22" s="369"/>
      <c r="E22" s="370" t="s">
        <v>417</v>
      </c>
    </row>
    <row r="23" spans="2:5" ht="15.75" customHeight="1" thickBot="1" x14ac:dyDescent="0.3">
      <c r="B23" s="321" t="s">
        <v>293</v>
      </c>
      <c r="C23" s="375">
        <v>1381</v>
      </c>
      <c r="D23" s="376"/>
      <c r="E23" s="387" t="s">
        <v>418</v>
      </c>
    </row>
    <row r="24" spans="2:5" ht="16.5" thickBot="1" x14ac:dyDescent="0.3">
      <c r="B24" s="388" t="s">
        <v>6</v>
      </c>
      <c r="C24" s="389">
        <v>1545</v>
      </c>
      <c r="D24" s="390">
        <f>+D4+D9+D14-D16-D17-D19+D20</f>
        <v>115075366.49717514</v>
      </c>
      <c r="E24" s="391" t="s">
        <v>419</v>
      </c>
    </row>
    <row r="25" spans="2:5" ht="16.5" thickBot="1" x14ac:dyDescent="0.3">
      <c r="B25" s="388" t="s">
        <v>41</v>
      </c>
      <c r="C25" s="381">
        <v>1546</v>
      </c>
      <c r="D25" s="392"/>
      <c r="E25" s="391" t="s">
        <v>419</v>
      </c>
    </row>
    <row r="27" spans="2:5" x14ac:dyDescent="0.25">
      <c r="B27" s="132"/>
    </row>
  </sheetData>
  <mergeCells count="1">
    <mergeCell ref="B2:E3"/>
  </mergeCells>
  <phoneticPr fontId="33"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3:P30"/>
  <sheetViews>
    <sheetView showGridLines="0" topLeftCell="F7" zoomScaleSheetLayoutView="91" workbookViewId="0">
      <selection activeCell="N8" sqref="N8"/>
    </sheetView>
  </sheetViews>
  <sheetFormatPr baseColWidth="10" defaultColWidth="9.140625" defaultRowHeight="15" x14ac:dyDescent="0.25"/>
  <cols>
    <col min="1" max="1" width="2.140625" style="1" customWidth="1"/>
    <col min="2" max="2" width="10" style="1" customWidth="1"/>
    <col min="3" max="3" width="14.140625" style="1" customWidth="1"/>
    <col min="4" max="4" width="16.85546875" style="1" customWidth="1"/>
    <col min="5" max="5" width="14" style="1" customWidth="1"/>
    <col min="6" max="7" width="17.140625" style="1" customWidth="1"/>
    <col min="8" max="8" width="17" style="1" customWidth="1"/>
    <col min="9" max="10" width="13.140625" style="1" customWidth="1"/>
    <col min="11" max="11" width="15.42578125" style="1" customWidth="1"/>
    <col min="12" max="13" width="13.42578125" style="1" customWidth="1"/>
    <col min="14" max="14" width="14" style="1" customWidth="1"/>
    <col min="15" max="15" width="11.85546875" style="1" customWidth="1"/>
    <col min="16" max="16" width="10.42578125" style="1" bestFit="1" customWidth="1"/>
    <col min="17" max="16384" width="9.140625" style="1"/>
  </cols>
  <sheetData>
    <row r="3" spans="1:16" x14ac:dyDescent="0.25">
      <c r="B3" s="208" t="s">
        <v>42</v>
      </c>
      <c r="C3" s="140"/>
      <c r="D3" s="140"/>
      <c r="E3" s="140"/>
      <c r="F3" s="140"/>
      <c r="G3" s="140"/>
      <c r="H3" s="140"/>
      <c r="I3" s="140"/>
      <c r="J3" s="140"/>
      <c r="K3" s="140"/>
      <c r="L3" s="140"/>
      <c r="M3" s="140"/>
      <c r="N3" s="140"/>
      <c r="O3" s="140"/>
    </row>
    <row r="4" spans="1:16" ht="18.75" x14ac:dyDescent="0.25">
      <c r="A4" s="108"/>
      <c r="B4" s="140"/>
      <c r="C4" s="208"/>
      <c r="D4" s="208"/>
      <c r="E4" s="208"/>
      <c r="F4" s="146"/>
      <c r="G4" s="146"/>
      <c r="H4" s="146"/>
      <c r="I4" s="146"/>
      <c r="J4" s="146"/>
      <c r="K4" s="146"/>
      <c r="L4" s="146"/>
      <c r="M4" s="146"/>
      <c r="N4" s="146"/>
      <c r="O4" s="140"/>
    </row>
    <row r="5" spans="1:16" ht="14.25" customHeight="1" x14ac:dyDescent="0.25">
      <c r="B5" s="541" t="s">
        <v>585</v>
      </c>
      <c r="C5" s="542"/>
      <c r="D5" s="542"/>
      <c r="E5" s="543"/>
      <c r="F5" s="550" t="s">
        <v>594</v>
      </c>
      <c r="G5" s="553" t="s">
        <v>581</v>
      </c>
      <c r="H5" s="553" t="s">
        <v>582</v>
      </c>
      <c r="I5" s="553"/>
      <c r="J5" s="558" t="s">
        <v>584</v>
      </c>
      <c r="K5" s="559"/>
      <c r="L5" s="559"/>
      <c r="M5" s="559"/>
      <c r="N5" s="559"/>
      <c r="O5" s="560"/>
    </row>
    <row r="6" spans="1:16" ht="38.25" x14ac:dyDescent="0.25">
      <c r="B6" s="544"/>
      <c r="C6" s="638"/>
      <c r="D6" s="638"/>
      <c r="E6" s="546"/>
      <c r="F6" s="551"/>
      <c r="G6" s="553"/>
      <c r="H6" s="561" t="s">
        <v>453</v>
      </c>
      <c r="I6" s="561" t="s">
        <v>559</v>
      </c>
      <c r="J6" s="562" t="s">
        <v>586</v>
      </c>
      <c r="K6" s="563"/>
      <c r="L6" s="563"/>
      <c r="M6" s="564"/>
      <c r="N6" s="232" t="s">
        <v>587</v>
      </c>
      <c r="O6" s="553" t="s">
        <v>588</v>
      </c>
    </row>
    <row r="7" spans="1:16" ht="25.5" x14ac:dyDescent="0.25">
      <c r="B7" s="544"/>
      <c r="C7" s="638"/>
      <c r="D7" s="638"/>
      <c r="E7" s="546"/>
      <c r="F7" s="551"/>
      <c r="G7" s="553"/>
      <c r="H7" s="561"/>
      <c r="I7" s="561"/>
      <c r="J7" s="562" t="s">
        <v>589</v>
      </c>
      <c r="K7" s="563"/>
      <c r="L7" s="564"/>
      <c r="M7" s="565" t="s">
        <v>58</v>
      </c>
      <c r="N7" s="232" t="s">
        <v>589</v>
      </c>
      <c r="O7" s="553"/>
    </row>
    <row r="8" spans="1:16" x14ac:dyDescent="0.25">
      <c r="B8" s="544"/>
      <c r="C8" s="638"/>
      <c r="D8" s="638"/>
      <c r="E8" s="546"/>
      <c r="F8" s="551"/>
      <c r="G8" s="553"/>
      <c r="H8" s="561"/>
      <c r="I8" s="561"/>
      <c r="J8" s="562" t="s">
        <v>590</v>
      </c>
      <c r="K8" s="564"/>
      <c r="L8" s="233">
        <v>0.111111</v>
      </c>
      <c r="M8" s="566"/>
      <c r="N8" s="233">
        <f>TRUNC(N22/O22,6)</f>
        <v>0.22874800000000001</v>
      </c>
      <c r="O8" s="553"/>
    </row>
    <row r="9" spans="1:16" ht="25.5" x14ac:dyDescent="0.25">
      <c r="B9" s="544"/>
      <c r="C9" s="638"/>
      <c r="D9" s="638"/>
      <c r="E9" s="546"/>
      <c r="F9" s="551"/>
      <c r="G9" s="553"/>
      <c r="H9" s="561"/>
      <c r="I9" s="561"/>
      <c r="J9" s="562" t="s">
        <v>591</v>
      </c>
      <c r="K9" s="564"/>
      <c r="L9" s="234" t="s">
        <v>410</v>
      </c>
      <c r="M9" s="567"/>
      <c r="N9" s="561" t="s">
        <v>592</v>
      </c>
      <c r="O9" s="553"/>
    </row>
    <row r="10" spans="1:16" ht="25.5" x14ac:dyDescent="0.25">
      <c r="B10" s="547"/>
      <c r="C10" s="548"/>
      <c r="D10" s="548"/>
      <c r="E10" s="549"/>
      <c r="F10" s="552"/>
      <c r="G10" s="553"/>
      <c r="H10" s="561"/>
      <c r="I10" s="561"/>
      <c r="J10" s="235" t="s">
        <v>57</v>
      </c>
      <c r="K10" s="235" t="s">
        <v>592</v>
      </c>
      <c r="L10" s="235" t="s">
        <v>592</v>
      </c>
      <c r="M10" s="235" t="s">
        <v>57</v>
      </c>
      <c r="N10" s="561"/>
      <c r="O10" s="553"/>
    </row>
    <row r="11" spans="1:16" x14ac:dyDescent="0.25">
      <c r="B11" s="393" t="s">
        <v>237</v>
      </c>
      <c r="C11" s="299"/>
      <c r="D11" s="299"/>
      <c r="E11" s="140"/>
      <c r="F11" s="394">
        <f t="shared" ref="F11:F16" si="0">SUM(G11:I11)</f>
        <v>23430000</v>
      </c>
      <c r="G11" s="394">
        <f>+Antecedentes!H102</f>
        <v>23350000</v>
      </c>
      <c r="H11" s="394">
        <f>+Antecedentes!I102+Antecedentes!I102</f>
        <v>0</v>
      </c>
      <c r="I11" s="394">
        <f>+Antecedentes!J102</f>
        <v>80000</v>
      </c>
      <c r="J11" s="394">
        <f>+Antecedentes!K102</f>
        <v>0</v>
      </c>
      <c r="K11" s="394">
        <f>+Antecedentes!L102</f>
        <v>1028889</v>
      </c>
      <c r="L11" s="394">
        <f>+Antecedentes!M102</f>
        <v>92466</v>
      </c>
      <c r="M11" s="394">
        <f>+Antecedentes!N102</f>
        <v>0</v>
      </c>
      <c r="N11" s="394">
        <f>+Antecedentes!O102</f>
        <v>34312</v>
      </c>
      <c r="O11" s="394">
        <f>+Antecedentes!P102</f>
        <v>150000</v>
      </c>
    </row>
    <row r="12" spans="1:16" x14ac:dyDescent="0.25">
      <c r="B12" s="395" t="s">
        <v>386</v>
      </c>
      <c r="C12" s="228"/>
      <c r="D12" s="228"/>
      <c r="E12" s="396"/>
      <c r="F12" s="397">
        <f t="shared" si="0"/>
        <v>-23350000</v>
      </c>
      <c r="G12" s="397">
        <f>-G11</f>
        <v>-23350000</v>
      </c>
      <c r="H12" s="397"/>
      <c r="I12" s="397"/>
      <c r="J12" s="397"/>
      <c r="K12" s="397"/>
      <c r="L12" s="397"/>
      <c r="M12" s="397"/>
      <c r="N12" s="397"/>
      <c r="O12" s="397"/>
    </row>
    <row r="13" spans="1:16" ht="18.600000000000001" customHeight="1" x14ac:dyDescent="0.25">
      <c r="B13" s="395" t="s">
        <v>387</v>
      </c>
      <c r="C13" s="228"/>
      <c r="D13" s="228"/>
      <c r="E13" s="396"/>
      <c r="F13" s="397">
        <f t="shared" si="0"/>
        <v>100315366.49717514</v>
      </c>
      <c r="G13" s="397">
        <f>+'RAI Final'!F9</f>
        <v>100315366.49717514</v>
      </c>
      <c r="H13" s="397"/>
      <c r="I13" s="397"/>
      <c r="J13" s="397"/>
      <c r="K13" s="397"/>
      <c r="L13" s="397"/>
      <c r="M13" s="397"/>
      <c r="N13" s="397"/>
      <c r="O13" s="397"/>
    </row>
    <row r="14" spans="1:16" x14ac:dyDescent="0.25">
      <c r="B14" s="395" t="s">
        <v>495</v>
      </c>
      <c r="C14" s="228"/>
      <c r="D14" s="398"/>
      <c r="E14" s="399"/>
      <c r="F14" s="400">
        <f t="shared" si="0"/>
        <v>80000</v>
      </c>
      <c r="G14" s="400"/>
      <c r="H14" s="400"/>
      <c r="I14" s="400">
        <f>+Antecedentes!L36</f>
        <v>80000</v>
      </c>
      <c r="J14" s="400"/>
      <c r="K14" s="400"/>
      <c r="L14" s="400"/>
      <c r="M14" s="400"/>
      <c r="N14" s="400"/>
      <c r="O14" s="400"/>
    </row>
    <row r="15" spans="1:16" x14ac:dyDescent="0.25">
      <c r="B15" s="401" t="s">
        <v>496</v>
      </c>
      <c r="C15" s="228"/>
      <c r="D15" s="398"/>
      <c r="E15" s="399">
        <f>+'Base Imponible y art.14 letra E'!K39</f>
        <v>49902320.497175142</v>
      </c>
      <c r="F15" s="400">
        <f t="shared" si="0"/>
        <v>0</v>
      </c>
      <c r="G15" s="400"/>
      <c r="H15" s="400"/>
      <c r="I15" s="400"/>
      <c r="J15" s="400">
        <f>'Crédito IPE'!K43</f>
        <v>1000608</v>
      </c>
      <c r="K15" s="400">
        <f>+'Base Imponible y art.14 letra E'!K40-J15</f>
        <v>3989624</v>
      </c>
      <c r="L15" s="211"/>
      <c r="M15" s="400">
        <f>'Crédito IPE'!K46</f>
        <v>2599275</v>
      </c>
      <c r="N15" s="400"/>
      <c r="O15" s="400"/>
    </row>
    <row r="16" spans="1:16" x14ac:dyDescent="0.25">
      <c r="B16" s="401" t="s">
        <v>534</v>
      </c>
      <c r="C16" s="228"/>
      <c r="D16" s="398"/>
      <c r="E16" s="399"/>
      <c r="F16" s="400">
        <f t="shared" si="0"/>
        <v>0</v>
      </c>
      <c r="G16" s="400"/>
      <c r="H16" s="400"/>
      <c r="I16" s="400"/>
      <c r="J16" s="400"/>
      <c r="K16" s="400">
        <f>+Antecedentes!J33</f>
        <v>22222</v>
      </c>
      <c r="L16" s="400">
        <f>+Antecedentes!J32</f>
        <v>92466</v>
      </c>
      <c r="M16" s="400"/>
      <c r="N16" s="400">
        <f>+Antecedentes!J34</f>
        <v>36600</v>
      </c>
      <c r="O16" s="400">
        <f>+Antecedentes!L34</f>
        <v>160000</v>
      </c>
      <c r="P16" s="130"/>
    </row>
    <row r="17" spans="2:15" x14ac:dyDescent="0.25">
      <c r="B17" s="402" t="s">
        <v>535</v>
      </c>
      <c r="C17" s="403"/>
      <c r="D17" s="404"/>
      <c r="E17" s="405"/>
      <c r="F17" s="406">
        <f>SUM(F11:F16)</f>
        <v>100475366.49717514</v>
      </c>
      <c r="G17" s="406">
        <f>SUM(G11:G16)</f>
        <v>100315366.49717514</v>
      </c>
      <c r="H17" s="406">
        <f t="shared" ref="H17" si="1">SUM(H11:H16)</f>
        <v>0</v>
      </c>
      <c r="I17" s="406">
        <f t="shared" ref="I17:O17" si="2">SUM(I11:I16)</f>
        <v>160000</v>
      </c>
      <c r="J17" s="406">
        <f t="shared" si="2"/>
        <v>1000608</v>
      </c>
      <c r="K17" s="406">
        <f t="shared" si="2"/>
        <v>5040735</v>
      </c>
      <c r="L17" s="406">
        <f t="shared" si="2"/>
        <v>184932</v>
      </c>
      <c r="M17" s="406">
        <f t="shared" si="2"/>
        <v>2599275</v>
      </c>
      <c r="N17" s="406">
        <f t="shared" si="2"/>
        <v>70912</v>
      </c>
      <c r="O17" s="406">
        <f t="shared" si="2"/>
        <v>310000</v>
      </c>
    </row>
    <row r="18" spans="2:15" x14ac:dyDescent="0.25">
      <c r="B18" s="395" t="s">
        <v>239</v>
      </c>
      <c r="C18" s="228"/>
      <c r="D18" s="398"/>
      <c r="E18" s="399"/>
      <c r="F18" s="400">
        <f>SUM(G18:I18)</f>
        <v>0</v>
      </c>
      <c r="G18" s="400">
        <v>0</v>
      </c>
      <c r="H18" s="400">
        <v>0</v>
      </c>
      <c r="I18" s="400"/>
      <c r="J18" s="400"/>
      <c r="K18" s="400"/>
      <c r="L18" s="400"/>
      <c r="M18" s="400"/>
      <c r="N18" s="400"/>
      <c r="O18" s="400"/>
    </row>
    <row r="19" spans="2:15" x14ac:dyDescent="0.25">
      <c r="B19" s="395" t="str">
        <f>+Antecedentes!C80</f>
        <v>Socio Sr. Ortiz</v>
      </c>
      <c r="C19" s="140"/>
      <c r="D19" s="407">
        <f>+Antecedentes!D80</f>
        <v>44489</v>
      </c>
      <c r="E19" s="399">
        <f>+Antecedentes!E80</f>
        <v>8000000</v>
      </c>
      <c r="F19" s="400">
        <f>SUM(G19:I19)</f>
        <v>-8000000</v>
      </c>
      <c r="G19" s="400">
        <f>-E19</f>
        <v>-8000000</v>
      </c>
      <c r="H19" s="400">
        <f>-H17</f>
        <v>0</v>
      </c>
      <c r="I19" s="400"/>
      <c r="J19" s="400">
        <f>-J17</f>
        <v>-1000608</v>
      </c>
      <c r="K19" s="400">
        <f xml:space="preserve"> ((G19+M19)*L8)-J19</f>
        <v>-177088.04452500003</v>
      </c>
      <c r="L19" s="400"/>
      <c r="M19" s="400">
        <f>-M17</f>
        <v>-2599275</v>
      </c>
      <c r="N19" s="400"/>
      <c r="O19" s="400"/>
    </row>
    <row r="20" spans="2:15" x14ac:dyDescent="0.25">
      <c r="B20" s="395" t="str">
        <f>+Antecedentes!C81</f>
        <v xml:space="preserve">Socio Sr. Escudero </v>
      </c>
      <c r="C20" s="140"/>
      <c r="D20" s="407">
        <f>+Antecedentes!D81</f>
        <v>44520</v>
      </c>
      <c r="E20" s="399">
        <f>+Antecedentes!E81</f>
        <v>8000000</v>
      </c>
      <c r="F20" s="400">
        <f>SUM(G20:I20)</f>
        <v>-8000000</v>
      </c>
      <c r="G20" s="400">
        <f>-E20</f>
        <v>-8000000</v>
      </c>
      <c r="H20" s="400"/>
      <c r="I20" s="400"/>
      <c r="J20" s="400">
        <f>-MAX(ROUND(G19*L8,0),J17+J19)</f>
        <v>0</v>
      </c>
      <c r="K20" s="400">
        <f>ROUND(G20*L8,0)-J20</f>
        <v>-888888</v>
      </c>
      <c r="L20" s="400"/>
      <c r="M20" s="400">
        <f>MAX(G20/0.65*25%,-M17-M19)</f>
        <v>0</v>
      </c>
      <c r="N20" s="400"/>
      <c r="O20" s="400"/>
    </row>
    <row r="21" spans="2:15" x14ac:dyDescent="0.25">
      <c r="B21" s="395" t="s">
        <v>536</v>
      </c>
      <c r="C21" s="228"/>
      <c r="D21" s="398"/>
      <c r="E21" s="408">
        <f>+Antecedentes!L54</f>
        <v>140000</v>
      </c>
      <c r="F21" s="400">
        <f>SUM(G21:I21)</f>
        <v>0</v>
      </c>
      <c r="G21" s="400"/>
      <c r="H21" s="400"/>
      <c r="I21" s="400"/>
      <c r="J21" s="398"/>
      <c r="K21" s="256">
        <f>-ROUND(E21*L8,0)</f>
        <v>-15556</v>
      </c>
      <c r="L21" s="399"/>
      <c r="M21" s="400"/>
      <c r="N21" s="400"/>
      <c r="O21" s="400"/>
    </row>
    <row r="22" spans="2:15" x14ac:dyDescent="0.25">
      <c r="B22" s="409" t="s">
        <v>558</v>
      </c>
      <c r="C22" s="361"/>
      <c r="D22" s="361"/>
      <c r="E22" s="287"/>
      <c r="F22" s="410">
        <f>SUM(F17:F21)</f>
        <v>84475366.497175142</v>
      </c>
      <c r="G22" s="410">
        <f t="shared" ref="G22:O22" si="3">SUM(G17:G21)</f>
        <v>84315366.497175142</v>
      </c>
      <c r="H22" s="410">
        <f t="shared" si="3"/>
        <v>0</v>
      </c>
      <c r="I22" s="410">
        <f t="shared" si="3"/>
        <v>160000</v>
      </c>
      <c r="J22" s="410">
        <f t="shared" si="3"/>
        <v>0</v>
      </c>
      <c r="K22" s="411">
        <f t="shared" si="3"/>
        <v>3959202.9554749997</v>
      </c>
      <c r="L22" s="410">
        <f t="shared" si="3"/>
        <v>184932</v>
      </c>
      <c r="M22" s="410">
        <f t="shared" si="3"/>
        <v>0</v>
      </c>
      <c r="N22" s="410">
        <f t="shared" si="3"/>
        <v>70912</v>
      </c>
      <c r="O22" s="410">
        <f t="shared" si="3"/>
        <v>310000</v>
      </c>
    </row>
    <row r="29" spans="2:15" x14ac:dyDescent="0.25">
      <c r="C29" s="3"/>
      <c r="D29" s="3"/>
      <c r="E29" s="3"/>
    </row>
    <row r="30" spans="2:15" x14ac:dyDescent="0.25">
      <c r="I30" s="138"/>
    </row>
  </sheetData>
  <mergeCells count="14">
    <mergeCell ref="J5:O5"/>
    <mergeCell ref="J7:L7"/>
    <mergeCell ref="J8:K8"/>
    <mergeCell ref="J9:K9"/>
    <mergeCell ref="B5:E10"/>
    <mergeCell ref="F5:F10"/>
    <mergeCell ref="G5:G10"/>
    <mergeCell ref="H5:I5"/>
    <mergeCell ref="H6:H10"/>
    <mergeCell ref="I6:I10"/>
    <mergeCell ref="O6:O10"/>
    <mergeCell ref="N9:N10"/>
    <mergeCell ref="M7:M9"/>
    <mergeCell ref="J6:M6"/>
  </mergeCells>
  <phoneticPr fontId="33" type="noConversion"/>
  <pageMargins left="0.22" right="0.62992125984251968" top="0.55118110236220474" bottom="0.74803149606299213" header="0.31496062992125984" footer="0.31496062992125984"/>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Antecedentes</vt:lpstr>
      <vt:lpstr>Crédito IPE</vt:lpstr>
      <vt:lpstr>Base Imponible y art.14 letra E</vt:lpstr>
      <vt:lpstr>R17 </vt:lpstr>
      <vt:lpstr>RAI Final</vt:lpstr>
      <vt:lpstr>R18 </vt:lpstr>
      <vt:lpstr>CPT Simplificado</vt:lpstr>
      <vt:lpstr>R19</vt:lpstr>
      <vt:lpstr>RTRE</vt:lpstr>
      <vt:lpstr>R20 </vt:lpstr>
      <vt:lpstr>R21 </vt:lpstr>
      <vt:lpstr>Datos para DJ 1948</vt:lpstr>
      <vt:lpstr>F1948</vt:lpstr>
      <vt:lpstr>Cert. 70</vt:lpstr>
      <vt:lpstr>Determinacion RLI Año 2019</vt:lpstr>
      <vt:lpstr>'Base Imponible y art.14 letra E'!Área_de_impresión</vt:lpstr>
      <vt:lpstr>'Cert. 70'!Área_de_impresión</vt:lpstr>
      <vt:lpstr>'CPT Simplificado'!Área_de_impresión</vt:lpstr>
      <vt:lpstr>'Crédito IPE'!Área_de_impresión</vt:lpstr>
      <vt:lpstr>'F1948'!Área_de_impresión</vt:lpstr>
      <vt:lpstr>'R17 '!Área_de_impresión</vt:lpstr>
      <vt:lpstr>'R18 '!Área_de_impresión</vt:lpstr>
      <vt:lpstr>'R19'!Área_de_impresión</vt:lpstr>
      <vt:lpstr>RTRE!Área_de_impresión</vt:lpstr>
      <vt:lpstr>'R17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A. Escudero Toledo</dc:creator>
  <cp:lastModifiedBy>Maria Cristina Valenzuela Valenzuela</cp:lastModifiedBy>
  <cp:lastPrinted>2021-02-19T00:44:29Z</cp:lastPrinted>
  <dcterms:created xsi:type="dcterms:W3CDTF">2020-07-18T19:38:20Z</dcterms:created>
  <dcterms:modified xsi:type="dcterms:W3CDTF">2022-01-24T11:47:10Z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0x0101009320C372E895434995F9F1441E0AA5F1</vt:lpwstr>
  </property>
</Properties>
</file>