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autoCompressPictures="0"/>
  <mc:AlternateContent xmlns:mc="http://schemas.openxmlformats.org/markup-compatibility/2006">
    <mc:Choice Requires="x15">
      <x15ac:absPath xmlns:x15ac="http://schemas.microsoft.com/office/spreadsheetml/2010/11/ac" url="https://chilesii.sharepoint.com/teams/InstruccionesF22AT2026/Documentos compartidos/General/CCJ y LOF 23.01/"/>
    </mc:Choice>
  </mc:AlternateContent>
  <xr:revisionPtr revIDLastSave="1787" documentId="13_ncr:1_{A6521B0C-F114-4738-A85E-45657E489115}" xr6:coauthVersionLast="47" xr6:coauthVersionMax="47" xr10:uidLastSave="{73321DDE-593F-46A6-AB77-8690D3021D34}"/>
  <bookViews>
    <workbookView xWindow="-120" yWindow="-120" windowWidth="29040" windowHeight="15720" tabRatio="869" xr2:uid="{00000000-000D-0000-FFFF-FFFF00000000}"/>
  </bookViews>
  <sheets>
    <sheet name="Antecedentes" sheetId="1" r:id="rId1"/>
    <sheet name="Crédito IPE" sheetId="18" r:id="rId2"/>
    <sheet name="RLI" sheetId="12" r:id="rId3"/>
    <sheet name="RTRE" sheetId="2" r:id="rId4"/>
    <sheet name="RAI Final" sheetId="4" r:id="rId5"/>
    <sheet name="Razonabilidad CPT" sheetId="10" r:id="rId6"/>
    <sheet name="Retiros y situacion Trib." sheetId="3" r:id="rId7"/>
    <sheet name="R12" sheetId="5" r:id="rId8"/>
    <sheet name="R13" sheetId="6" r:id="rId9"/>
    <sheet name="R14" sheetId="7" r:id="rId10"/>
    <sheet name="R15" sheetId="22" r:id="rId11"/>
    <sheet name="R16" sheetId="23" r:id="rId12"/>
    <sheet name="F1926" sheetId="20" r:id="rId13"/>
    <sheet name="F1948" sheetId="24" r:id="rId14"/>
    <sheet name="ANEXO N°1 (DDJJ 1847 y 1926)" sheetId="21" r:id="rId15"/>
  </sheets>
  <externalReferences>
    <externalReference r:id="rId16"/>
    <externalReference r:id="rId17"/>
    <externalReference r:id="rId18"/>
  </externalReferences>
  <definedNames>
    <definedName name="_xlnm._FilterDatabase" localSheetId="7" hidden="1">'R12'!$Q$3:$Q$58</definedName>
    <definedName name="_xlnm._FilterDatabase" localSheetId="8" hidden="1">'R13'!$P$3:$P$13</definedName>
    <definedName name="_xlnm._FilterDatabase" localSheetId="9" hidden="1">'R14'!$P$3:$P$28</definedName>
    <definedName name="aa">#REF!</definedName>
    <definedName name="aaa">#REF!</definedName>
    <definedName name="aaaa">#REF!</definedName>
    <definedName name="_xlnm.Print_Area" localSheetId="0">Antecedentes!$B$2:$M$51</definedName>
    <definedName name="_xlnm.Print_Area" localSheetId="1">'Crédito IPE'!$B$2:$K$9,'Crédito IPE'!$B$10:$K$42</definedName>
    <definedName name="_xlnm.Print_Area" localSheetId="13">'F1948'!$A$1:$AI$54</definedName>
    <definedName name="_xlnm.Print_Area" localSheetId="2">RLI!$A$1:$P$55</definedName>
    <definedName name="_xlnm.Print_Area" localSheetId="3">RTRE!$B$1:$S$32</definedName>
    <definedName name="casa">#REF!</definedName>
    <definedName name="CERTIFICADO">#REF!</definedName>
    <definedName name="Codigo">#REF!</definedName>
    <definedName name="g">#REF!</definedName>
    <definedName name="ggg">#REF!</definedName>
    <definedName name="GVKey">""</definedName>
    <definedName name="INVERSION" localSheetId="2">#REF!</definedName>
    <definedName name="INVERSION">#REF!</definedName>
    <definedName name="mmm">#REF!</definedName>
    <definedName name="operacion" localSheetId="2">#REF!</definedName>
    <definedName name="operacion">#REF!</definedName>
    <definedName name="OPERACION1" localSheetId="2">#REF!</definedName>
    <definedName name="OPERACION1">#REF!</definedName>
    <definedName name="operacion4">#REF!</definedName>
    <definedName name="pert">#REF!</definedName>
    <definedName name="SPSet">"current"</definedName>
    <definedName name="SPWS_WBID">""</definedName>
    <definedName name="ssss">#REF!</definedName>
    <definedName name="TopRankDefaultDistForRange" hidden="1">0</definedName>
    <definedName name="TopRankDefaultMax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"Libro de trabajo activo"</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v" localSheetId="13">'[1]Registrar F.22 AT.2013'!$A$2:$B$182</definedName>
    <definedName name="v" localSheetId="2">'[2]Registrar '!$A$2:$B$182</definedName>
    <definedName name="v">'[3]Registrar  AT.Actual'!$A$2:$B$182</definedName>
    <definedName name="x">'[3]Registrar  AT.-1'!$A:$B</definedName>
    <definedName name="z" localSheetId="2">#REF!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I21" i="18" l="1"/>
  <c r="H25" i="18"/>
  <c r="P5" i="3"/>
  <c r="H5" i="3"/>
  <c r="P10" i="3"/>
  <c r="H10" i="3"/>
  <c r="L46" i="20"/>
  <c r="M9" i="1"/>
  <c r="K11" i="1" l="1"/>
  <c r="M29" i="1" l="1"/>
  <c r="C7" i="12"/>
  <c r="AF46" i="24"/>
  <c r="H6" i="7" l="1"/>
  <c r="K8" i="5"/>
  <c r="Q8" i="5" s="1"/>
  <c r="K10" i="5"/>
  <c r="Q7" i="5"/>
  <c r="Q9" i="5"/>
  <c r="Q11" i="5"/>
  <c r="Q12" i="5"/>
  <c r="Q13" i="5"/>
  <c r="Q14" i="5"/>
  <c r="Q15" i="5"/>
  <c r="Q16" i="5"/>
  <c r="Q17" i="5"/>
  <c r="Q18" i="5"/>
  <c r="Q19" i="5"/>
  <c r="Q20" i="5"/>
  <c r="Q21" i="5"/>
  <c r="Q28" i="5"/>
  <c r="Q29" i="5"/>
  <c r="Q33" i="5"/>
  <c r="Q34" i="5"/>
  <c r="Q35" i="5"/>
  <c r="Q36" i="5"/>
  <c r="Q37" i="5"/>
  <c r="Q39" i="5"/>
  <c r="Q41" i="5"/>
  <c r="Q42" i="5"/>
  <c r="Q43" i="5"/>
  <c r="Q48" i="5"/>
  <c r="Q49" i="5"/>
  <c r="Q51" i="5"/>
  <c r="Q52" i="5"/>
  <c r="Q53" i="5"/>
  <c r="Q54" i="5"/>
  <c r="Q57" i="5"/>
  <c r="K39" i="2"/>
  <c r="I39" i="2"/>
  <c r="N40" i="12"/>
  <c r="P11" i="12"/>
  <c r="P10" i="12"/>
  <c r="P9" i="12"/>
  <c r="P8" i="12"/>
  <c r="N25" i="12"/>
  <c r="P25" i="12" s="1"/>
  <c r="N22" i="12"/>
  <c r="P22" i="12" s="1"/>
  <c r="N20" i="12"/>
  <c r="E30" i="20" s="1"/>
  <c r="N18" i="12"/>
  <c r="E28" i="20" s="1"/>
  <c r="N17" i="12"/>
  <c r="E27" i="20" s="1"/>
  <c r="N13" i="12"/>
  <c r="P13" i="12" s="1"/>
  <c r="N11" i="12"/>
  <c r="N10" i="12"/>
  <c r="N9" i="12"/>
  <c r="N8" i="12"/>
  <c r="N19" i="12" s="1"/>
  <c r="P19" i="12" s="1"/>
  <c r="N7" i="12"/>
  <c r="P7" i="12" s="1"/>
  <c r="N6" i="12"/>
  <c r="E20" i="20" s="1"/>
  <c r="C386" i="21"/>
  <c r="B386" i="21"/>
  <c r="C321" i="21"/>
  <c r="B321" i="21"/>
  <c r="C252" i="21"/>
  <c r="B252" i="21"/>
  <c r="C195" i="21"/>
  <c r="B195" i="21"/>
  <c r="C138" i="21"/>
  <c r="B138" i="21"/>
  <c r="C84" i="21"/>
  <c r="B84" i="21"/>
  <c r="F21" i="20"/>
  <c r="E24" i="20"/>
  <c r="H32" i="20"/>
  <c r="F32" i="20"/>
  <c r="H31" i="20"/>
  <c r="F31" i="20"/>
  <c r="H30" i="20"/>
  <c r="H29" i="20"/>
  <c r="H28" i="20"/>
  <c r="F28" i="20"/>
  <c r="H27" i="20"/>
  <c r="F27" i="20"/>
  <c r="H25" i="20"/>
  <c r="F25" i="20"/>
  <c r="H24" i="20"/>
  <c r="F24" i="20"/>
  <c r="H23" i="20"/>
  <c r="F23" i="20"/>
  <c r="H22" i="20"/>
  <c r="F22" i="20"/>
  <c r="H21" i="20"/>
  <c r="H20" i="20"/>
  <c r="F20" i="20"/>
  <c r="H19" i="20"/>
  <c r="F19" i="20"/>
  <c r="P17" i="12" l="1"/>
  <c r="P18" i="12"/>
  <c r="P20" i="12"/>
  <c r="P6" i="12"/>
  <c r="K6" i="18"/>
  <c r="I20" i="18" l="1"/>
  <c r="J14" i="18"/>
  <c r="L44" i="1"/>
  <c r="M44" i="1" s="1"/>
  <c r="L43" i="1"/>
  <c r="M43" i="1" s="1"/>
  <c r="J19" i="18"/>
  <c r="J22" i="18" l="1"/>
  <c r="K18" i="18" s="1"/>
  <c r="H26" i="18" s="1"/>
  <c r="I24" i="18" s="1"/>
  <c r="K24" i="18" s="1"/>
  <c r="K13" i="18"/>
  <c r="F21" i="1"/>
  <c r="M10" i="1"/>
  <c r="E22" i="2"/>
  <c r="O16" i="2"/>
  <c r="L11" i="1"/>
  <c r="K45" i="1"/>
  <c r="Q10" i="5"/>
  <c r="P12" i="6"/>
  <c r="P11" i="6"/>
  <c r="P6" i="6"/>
  <c r="P5" i="6"/>
  <c r="P26" i="7"/>
  <c r="P24" i="7"/>
  <c r="P23" i="7"/>
  <c r="P22" i="7"/>
  <c r="P19" i="7"/>
  <c r="P18" i="7"/>
  <c r="P17" i="7"/>
  <c r="P13" i="7"/>
  <c r="P12" i="7"/>
  <c r="P11" i="7"/>
  <c r="P10" i="7"/>
  <c r="P8" i="7"/>
  <c r="P7" i="7"/>
  <c r="P5" i="7"/>
  <c r="F8" i="10"/>
  <c r="E5" i="10"/>
  <c r="F4" i="10"/>
  <c r="L17" i="12"/>
  <c r="L18" i="12"/>
  <c r="J8" i="12"/>
  <c r="K8" i="12"/>
  <c r="J10" i="12"/>
  <c r="L10" i="12" s="1"/>
  <c r="J22" i="12"/>
  <c r="K22" i="12"/>
  <c r="J6" i="12"/>
  <c r="L6" i="12" s="1"/>
  <c r="K6" i="12"/>
  <c r="J7" i="12"/>
  <c r="K7" i="12"/>
  <c r="J9" i="12"/>
  <c r="K9" i="12"/>
  <c r="J13" i="12"/>
  <c r="L4" i="12"/>
  <c r="G19" i="20" s="1"/>
  <c r="B46" i="20" s="1"/>
  <c r="E32" i="20"/>
  <c r="C25" i="12"/>
  <c r="C32" i="20" s="1"/>
  <c r="C17" i="12"/>
  <c r="C27" i="20" s="1"/>
  <c r="C20" i="12"/>
  <c r="C30" i="20" s="1"/>
  <c r="C19" i="12"/>
  <c r="C29" i="20" s="1"/>
  <c r="C18" i="12"/>
  <c r="C28" i="20" s="1"/>
  <c r="C8" i="12"/>
  <c r="C22" i="20" s="1"/>
  <c r="C9" i="12"/>
  <c r="C23" i="20" s="1"/>
  <c r="C6" i="12"/>
  <c r="C20" i="20" s="1"/>
  <c r="C22" i="12"/>
  <c r="C31" i="20" s="1"/>
  <c r="C13" i="12"/>
  <c r="C25" i="20" s="1"/>
  <c r="C4" i="12"/>
  <c r="E23" i="20"/>
  <c r="E22" i="20"/>
  <c r="E21" i="20"/>
  <c r="D20" i="12"/>
  <c r="F30" i="20" s="1"/>
  <c r="D19" i="12"/>
  <c r="F29" i="20" s="1"/>
  <c r="I9" i="2"/>
  <c r="E10" i="2"/>
  <c r="N10" i="2" s="1"/>
  <c r="N11" i="2" s="1"/>
  <c r="I37" i="2" s="1"/>
  <c r="M9" i="2"/>
  <c r="J9" i="2"/>
  <c r="R9" i="2"/>
  <c r="O9" i="2"/>
  <c r="L9" i="2"/>
  <c r="K9" i="2"/>
  <c r="H9" i="2"/>
  <c r="G9" i="2"/>
  <c r="Q9" i="2"/>
  <c r="K41" i="2"/>
  <c r="I41" i="2"/>
  <c r="B26" i="2"/>
  <c r="B25" i="2"/>
  <c r="Q6" i="2"/>
  <c r="L34" i="2" s="1"/>
  <c r="L9" i="12" l="1"/>
  <c r="L39" i="12" s="1"/>
  <c r="J29" i="18"/>
  <c r="L20" i="12"/>
  <c r="G24" i="20"/>
  <c r="L8" i="12"/>
  <c r="K40" i="5"/>
  <c r="Q40" i="5" s="1"/>
  <c r="G28" i="20"/>
  <c r="K50" i="5"/>
  <c r="Q50" i="5" s="1"/>
  <c r="G27" i="20"/>
  <c r="K6" i="5"/>
  <c r="K5" i="5" s="1"/>
  <c r="J33" i="18"/>
  <c r="G22" i="2"/>
  <c r="O7" i="3"/>
  <c r="L22" i="12"/>
  <c r="J4" i="7"/>
  <c r="F5" i="10"/>
  <c r="J12" i="23"/>
  <c r="J39" i="2"/>
  <c r="M39" i="2" s="1"/>
  <c r="K26" i="5"/>
  <c r="H10" i="2"/>
  <c r="H11" i="2" s="1"/>
  <c r="O10" i="2"/>
  <c r="O11" i="2" s="1"/>
  <c r="J37" i="2" s="1"/>
  <c r="L10" i="2"/>
  <c r="L11" i="2" s="1"/>
  <c r="P6" i="22" s="1"/>
  <c r="K10" i="2"/>
  <c r="K11" i="2" s="1"/>
  <c r="N6" i="22" s="1"/>
  <c r="G10" i="2"/>
  <c r="F9" i="2"/>
  <c r="L37" i="12"/>
  <c r="L7" i="12"/>
  <c r="F11" i="10" s="1"/>
  <c r="M45" i="1"/>
  <c r="K13" i="12" s="1"/>
  <c r="L13" i="12" s="1"/>
  <c r="G25" i="20" s="1"/>
  <c r="M10" i="2"/>
  <c r="M11" i="2" s="1"/>
  <c r="H37" i="2" s="1"/>
  <c r="E20" i="2"/>
  <c r="C21" i="20"/>
  <c r="M11" i="1"/>
  <c r="F7" i="4" s="1"/>
  <c r="J10" i="6" s="1"/>
  <c r="P10" i="6" s="1"/>
  <c r="R10" i="2"/>
  <c r="R11" i="2" s="1"/>
  <c r="J10" i="2"/>
  <c r="J11" i="2" s="1"/>
  <c r="J18" i="2" s="1"/>
  <c r="P10" i="2"/>
  <c r="P11" i="2" s="1"/>
  <c r="K37" i="2" s="1"/>
  <c r="Q10" i="2"/>
  <c r="Q11" i="2" s="1"/>
  <c r="L37" i="2" s="1"/>
  <c r="L42" i="2" s="1"/>
  <c r="I10" i="2"/>
  <c r="I11" i="2" s="1"/>
  <c r="E29" i="20"/>
  <c r="C10" i="12"/>
  <c r="C24" i="20" s="1"/>
  <c r="K22" i="5"/>
  <c r="J30" i="18" l="1"/>
  <c r="K28" i="18" s="1"/>
  <c r="F10" i="10"/>
  <c r="L38" i="12"/>
  <c r="K31" i="5"/>
  <c r="Q31" i="5" s="1"/>
  <c r="G21" i="20"/>
  <c r="H18" i="2"/>
  <c r="H27" i="2" s="1"/>
  <c r="F17" i="22" s="1"/>
  <c r="F6" i="22"/>
  <c r="J7" i="23"/>
  <c r="K32" i="5"/>
  <c r="Q32" i="5" s="1"/>
  <c r="G22" i="20"/>
  <c r="L19" i="12"/>
  <c r="H42" i="2"/>
  <c r="M37" i="2"/>
  <c r="K47" i="5"/>
  <c r="Q47" i="5" s="1"/>
  <c r="G30" i="20"/>
  <c r="L32" i="12"/>
  <c r="K25" i="5"/>
  <c r="Q25" i="5" s="1"/>
  <c r="G31" i="20"/>
  <c r="E25" i="2"/>
  <c r="O25" i="2" s="1"/>
  <c r="G20" i="20"/>
  <c r="E26" i="2"/>
  <c r="O26" i="2" s="1"/>
  <c r="J41" i="2" s="1"/>
  <c r="F22" i="2"/>
  <c r="K27" i="5"/>
  <c r="Q27" i="5" s="1"/>
  <c r="G20" i="2"/>
  <c r="G7" i="3"/>
  <c r="G23" i="20"/>
  <c r="P4" i="7"/>
  <c r="J6" i="7"/>
  <c r="P6" i="7" s="1"/>
  <c r="Q22" i="5"/>
  <c r="K23" i="5"/>
  <c r="F10" i="2"/>
  <c r="G11" i="2"/>
  <c r="D6" i="22" s="1"/>
  <c r="Q6" i="5"/>
  <c r="M18" i="2"/>
  <c r="M27" i="2" s="1"/>
  <c r="F12" i="10"/>
  <c r="F5" i="4"/>
  <c r="J15" i="7" s="1"/>
  <c r="P15" i="7" s="1"/>
  <c r="K18" i="2"/>
  <c r="K27" i="2" s="1"/>
  <c r="N17" i="22" s="1"/>
  <c r="L18" i="2"/>
  <c r="L27" i="2" s="1"/>
  <c r="P17" i="22" s="1"/>
  <c r="F6" i="4"/>
  <c r="J9" i="6" s="1"/>
  <c r="P9" i="6" s="1"/>
  <c r="Q18" i="2"/>
  <c r="I18" i="2"/>
  <c r="L36" i="12"/>
  <c r="R18" i="2"/>
  <c r="J14" i="7"/>
  <c r="P14" i="7" s="1"/>
  <c r="J34" i="18" l="1"/>
  <c r="K32" i="18" s="1"/>
  <c r="K38" i="18" s="1"/>
  <c r="N15" i="2" s="1"/>
  <c r="G13" i="2"/>
  <c r="M41" i="2"/>
  <c r="K46" i="5"/>
  <c r="Q46" i="5" s="1"/>
  <c r="G29" i="20"/>
  <c r="E46" i="20" s="1"/>
  <c r="L29" i="12"/>
  <c r="L30" i="12" s="1"/>
  <c r="L23" i="12"/>
  <c r="F25" i="24"/>
  <c r="D15" i="22"/>
  <c r="F26" i="24"/>
  <c r="J17" i="23"/>
  <c r="F13" i="2"/>
  <c r="D11" i="22"/>
  <c r="F20" i="2"/>
  <c r="H11" i="23"/>
  <c r="I38" i="2"/>
  <c r="Q23" i="5"/>
  <c r="Q5" i="5"/>
  <c r="J7" i="6"/>
  <c r="P7" i="6" s="1"/>
  <c r="F11" i="2"/>
  <c r="F9" i="10"/>
  <c r="J16" i="7"/>
  <c r="P16" i="7" s="1"/>
  <c r="Q26" i="5"/>
  <c r="P15" i="3"/>
  <c r="J27" i="2"/>
  <c r="G12" i="3"/>
  <c r="R27" i="2"/>
  <c r="K40" i="18" l="1"/>
  <c r="C46" i="24"/>
  <c r="L11" i="12"/>
  <c r="K30" i="5" s="1"/>
  <c r="K55" i="5" s="1"/>
  <c r="G11" i="3"/>
  <c r="I27" i="2"/>
  <c r="N18" i="2"/>
  <c r="N20" i="2" s="1"/>
  <c r="I40" i="2" s="1"/>
  <c r="H15" i="23" l="1"/>
  <c r="H18" i="23" s="1"/>
  <c r="Q30" i="5"/>
  <c r="N27" i="2"/>
  <c r="G26" i="20"/>
  <c r="D46" i="20" s="1"/>
  <c r="L14" i="12"/>
  <c r="Q27" i="2"/>
  <c r="J20" i="7"/>
  <c r="P20" i="7" s="1"/>
  <c r="F13" i="10"/>
  <c r="P15" i="2"/>
  <c r="L24" i="12" l="1"/>
  <c r="L35" i="12" s="1"/>
  <c r="L40" i="12" s="1"/>
  <c r="K38" i="2"/>
  <c r="L11" i="23"/>
  <c r="I42" i="2"/>
  <c r="H19" i="3"/>
  <c r="V25" i="24" s="1"/>
  <c r="S46" i="24" s="1"/>
  <c r="H15" i="3"/>
  <c r="P18" i="2"/>
  <c r="P20" i="2" s="1"/>
  <c r="O20" i="2" l="1"/>
  <c r="K40" i="2"/>
  <c r="L41" i="12"/>
  <c r="L25" i="12" s="1"/>
  <c r="L15" i="23"/>
  <c r="L18" i="23" s="1"/>
  <c r="P27" i="2"/>
  <c r="F7" i="10" l="1"/>
  <c r="J21" i="7" s="1"/>
  <c r="P21" i="7" s="1"/>
  <c r="K56" i="5"/>
  <c r="Q56" i="5" s="1"/>
  <c r="L26" i="12"/>
  <c r="L27" i="12" s="1"/>
  <c r="O15" i="2" s="1"/>
  <c r="J11" i="23" s="1"/>
  <c r="G32" i="20"/>
  <c r="F46" i="20" s="1"/>
  <c r="G46" i="20" s="1"/>
  <c r="K42" i="2"/>
  <c r="H23" i="3"/>
  <c r="Z25" i="24" s="1"/>
  <c r="W46" i="24" s="1"/>
  <c r="O18" i="2" l="1"/>
  <c r="O22" i="2" s="1"/>
  <c r="J40" i="2" s="1"/>
  <c r="J38" i="2"/>
  <c r="M38" i="2" s="1"/>
  <c r="H18" i="3"/>
  <c r="H21" i="3" s="1"/>
  <c r="K58" i="5"/>
  <c r="J42" i="2" l="1"/>
  <c r="J15" i="23"/>
  <c r="J18" i="23" s="1"/>
  <c r="W25" i="24"/>
  <c r="P18" i="3"/>
  <c r="P21" i="3" s="1"/>
  <c r="O27" i="2"/>
  <c r="J9" i="7"/>
  <c r="F6" i="10"/>
  <c r="F14" i="10" s="1"/>
  <c r="W26" i="24" l="1"/>
  <c r="T46" i="24" s="1"/>
  <c r="M40" i="2"/>
  <c r="M42" i="2" s="1"/>
  <c r="F4" i="4"/>
  <c r="F8" i="4" s="1"/>
  <c r="P9" i="7"/>
  <c r="J25" i="7"/>
  <c r="P25" i="7" s="1"/>
  <c r="J4" i="6" l="1"/>
  <c r="P4" i="6" l="1"/>
  <c r="J8" i="6"/>
  <c r="J13" i="6" s="1"/>
  <c r="G14" i="2"/>
  <c r="G18" i="2" s="1"/>
  <c r="G27" i="2" s="1"/>
  <c r="P8" i="6" l="1"/>
  <c r="F27" i="2"/>
  <c r="D17" i="22"/>
  <c r="F14" i="2"/>
  <c r="F18" i="2" s="1"/>
  <c r="D12" i="22"/>
  <c r="P13" i="6"/>
</calcChain>
</file>

<file path=xl/sharedStrings.xml><?xml version="1.0" encoding="utf-8"?>
<sst xmlns="http://schemas.openxmlformats.org/spreadsheetml/2006/main" count="1681" uniqueCount="1347">
  <si>
    <t>ANTECEDENTES</t>
  </si>
  <si>
    <t>I.</t>
  </si>
  <si>
    <t>La sociedad Fénix Ltda, con inicio de actividades con fecha 03.04.2019 y sujeta al actual régimen del artículo 14 letra A) de la LIR, proporciona los siguientes antecedentes para determinar las obligaciones tributarias que afectan a sus propietarios.</t>
  </si>
  <si>
    <t>II.</t>
  </si>
  <si>
    <t xml:space="preserve">Valores $ </t>
  </si>
  <si>
    <t>Al 31.12.2024</t>
  </si>
  <si>
    <t>Al 31.12.2025</t>
  </si>
  <si>
    <t>III.</t>
  </si>
  <si>
    <t>El RTRE al 31.12.2024 acusa los siguientes saldos:</t>
  </si>
  <si>
    <t>Detalle</t>
  </si>
  <si>
    <t>RAI</t>
  </si>
  <si>
    <t>DDAN</t>
  </si>
  <si>
    <t>REX</t>
  </si>
  <si>
    <t>SAC</t>
  </si>
  <si>
    <t>RAP</t>
  </si>
  <si>
    <t>Renta
exentas</t>
  </si>
  <si>
    <t>Ingresos
no renta</t>
  </si>
  <si>
    <t>Acumulado a contar del 01.01.2017</t>
  </si>
  <si>
    <t>Acumulado hasta el 31.12.2016</t>
  </si>
  <si>
    <t>STUT</t>
  </si>
  <si>
    <t>Crédito por IDPC</t>
  </si>
  <si>
    <t>Factor</t>
  </si>
  <si>
    <t>No sujeto a
Restitución acumulados hasta el 31.12.2019</t>
  </si>
  <si>
    <t>Sujeto a
Restitución</t>
  </si>
  <si>
    <t>Con
devolución</t>
  </si>
  <si>
    <t>Remanente al 31.12.2024</t>
  </si>
  <si>
    <t>IV.</t>
  </si>
  <si>
    <t>V.</t>
  </si>
  <si>
    <t>1.-</t>
  </si>
  <si>
    <t>2.-</t>
  </si>
  <si>
    <t>3.-</t>
  </si>
  <si>
    <t>4.-</t>
  </si>
  <si>
    <t>5.-</t>
  </si>
  <si>
    <t>6.-</t>
  </si>
  <si>
    <t>VI.</t>
  </si>
  <si>
    <t>Durante el ejercicio 2025 se materializaron los siguientes retiros efectivos de parte de los socios:</t>
  </si>
  <si>
    <t>Retiros Históricos</t>
  </si>
  <si>
    <t>Retiros Actualizados</t>
  </si>
  <si>
    <t>VII.</t>
  </si>
  <si>
    <t>VIII.</t>
  </si>
  <si>
    <t>IX.</t>
  </si>
  <si>
    <t>X.</t>
  </si>
  <si>
    <t>ANTECEDENTES DE LA RENTA DE FUENTE EXTRANJERA</t>
  </si>
  <si>
    <t>Artículo 14 letra A) LIR</t>
  </si>
  <si>
    <t>x 35%</t>
  </si>
  <si>
    <t>Determinación Renta Líquida Imponible al 31.12.2025</t>
  </si>
  <si>
    <t>$</t>
  </si>
  <si>
    <t>Tipo de ajuste</t>
  </si>
  <si>
    <t xml:space="preserve">(+) </t>
  </si>
  <si>
    <t>Histórico</t>
  </si>
  <si>
    <t xml:space="preserve">21.03; Multas fiscales, pagadas, reajustadas </t>
  </si>
  <si>
    <t xml:space="preserve">15.12; Colegiatura del hijo de la socia Srta. Arriagada </t>
  </si>
  <si>
    <t>Actualizado</t>
  </si>
  <si>
    <t>Total agregados</t>
  </si>
  <si>
    <t>Deducciones:</t>
  </si>
  <si>
    <t xml:space="preserve">(-) </t>
  </si>
  <si>
    <t>Dividendo percibido de fuente chilena</t>
  </si>
  <si>
    <t>GR art. 21 inc. 1° LIR afecto al 40%</t>
  </si>
  <si>
    <t>GR art. 21 inc. 3°LIR atribuible al socio</t>
  </si>
  <si>
    <t>IPC</t>
  </si>
  <si>
    <t>Total deducciones</t>
  </si>
  <si>
    <t xml:space="preserve">(=) </t>
  </si>
  <si>
    <t>Renta Líquida Imponible antes de rebaja por incentivo al ahorro según art. 14 letra E) LIR</t>
  </si>
  <si>
    <t>Deducción incentivo al ahorro art. 14 letra E) LIR</t>
  </si>
  <si>
    <t>=</t>
  </si>
  <si>
    <t>BASE IMPONIBLE IDPC</t>
  </si>
  <si>
    <t>BASE IMPONIBLE Impuesto Único de 40% sobre gastos rechazados inciso primero artículo 21 LIR</t>
  </si>
  <si>
    <t xml:space="preserve">Tasa impuesto </t>
  </si>
  <si>
    <t>BASE IMPONIBLE sobre gastos rechazados inciso tercero artículo 21 LIR</t>
  </si>
  <si>
    <t>Determinación incentivo al ahorro (art.14 letra E) LIR)</t>
  </si>
  <si>
    <t>Deducción incentivo al ahorro art. 14 letra E) LIR (cantidad menor entre 50% RLI Invertida o 5.000 UF = $198.639.800)</t>
  </si>
  <si>
    <t>Control</t>
  </si>
  <si>
    <t>Crédito IPE</t>
  </si>
  <si>
    <t>No sujeto a
Restitución</t>
  </si>
  <si>
    <t>Sin
devolución</t>
  </si>
  <si>
    <t>Reajuste anual</t>
  </si>
  <si>
    <t>Menos:</t>
  </si>
  <si>
    <t>Ajuste al SAC:</t>
  </si>
  <si>
    <t>Cuadro Resumen de los Créditos</t>
  </si>
  <si>
    <t>Con D° Dev.</t>
  </si>
  <si>
    <t>Sin D° Dev.</t>
  </si>
  <si>
    <t>Crédito inicial actualizado</t>
  </si>
  <si>
    <t>Crédito por IDPC sobre RLI</t>
  </si>
  <si>
    <t>Crédito por IDPC sobre dividendos percibidos</t>
  </si>
  <si>
    <t>Crédito imputado a los retiros</t>
  </si>
  <si>
    <t>Crédito asociado a GR</t>
  </si>
  <si>
    <t>Crédito Final</t>
  </si>
  <si>
    <t>Monto $</t>
  </si>
  <si>
    <t>(=) Rentas afectas del ejercicio</t>
  </si>
  <si>
    <t>Razonabilidad del Capital Propio Tributario</t>
  </si>
  <si>
    <t xml:space="preserve">Capital Propio Tributario final </t>
  </si>
  <si>
    <t>Socio 1: Sociedad NSD Ltda.</t>
  </si>
  <si>
    <t>a) Rentas</t>
  </si>
  <si>
    <t>b) Créditos</t>
  </si>
  <si>
    <t>RECUADRO N° 12: BASE IMPONIBLE DE PRIMERA CATEGORÍA (ART. 14 LETRAS  A) O G) LIR)</t>
  </si>
  <si>
    <t>RESULTADO FINANCIERO</t>
  </si>
  <si>
    <t>Ingresos del giro percibidos o devengados</t>
  </si>
  <si>
    <t>+</t>
  </si>
  <si>
    <t>Rentas de fuente extranjera</t>
  </si>
  <si>
    <t>Intereses percibidos o devengados</t>
  </si>
  <si>
    <t>Otros ingresos percibidos o devengados</t>
  </si>
  <si>
    <t>Costo directo de los bienes y servicios</t>
  </si>
  <si>
    <t>-</t>
  </si>
  <si>
    <t>Remuneraciones</t>
  </si>
  <si>
    <t>Arriendos</t>
  </si>
  <si>
    <t>Depreciación financiera del ejercicio</t>
  </si>
  <si>
    <t>Intereses pagados o adeudados</t>
  </si>
  <si>
    <t>Gastos por donaciones</t>
  </si>
  <si>
    <t>Otros gastos financieros</t>
  </si>
  <si>
    <t>Gastos por inversión privada en investigación y desarrollo certificados por CORFO</t>
  </si>
  <si>
    <t>Gastos por inversión privada en Investigación y desarrollo no certificados por CORFO</t>
  </si>
  <si>
    <t>Gastos por exigencias medio ambientales</t>
  </si>
  <si>
    <t>Gasto por indemnización o compensación a clientes o usuarios</t>
  </si>
  <si>
    <t>Costos y gastos necesarios para producir las rentas de fuente extranjera</t>
  </si>
  <si>
    <t>Gastos por impuesto renta e impuesto diferido</t>
  </si>
  <si>
    <t>Otros gastos deducidos de los ingresos brutos</t>
  </si>
  <si>
    <t xml:space="preserve">Resultado financiero </t>
  </si>
  <si>
    <t>AJUSTES AL RESULTADO FINANCIERO</t>
  </si>
  <si>
    <t>Corrección monetaria saldo deudor (art. 32 N° 1 LIR)</t>
  </si>
  <si>
    <t>Corrección monetaria saldo acreedor (art. 32 N° 2 LIR)</t>
  </si>
  <si>
    <t>Partidas del inc. 1° no afectas al IU de tasa 40% y del inc. 2° del art. 21 LIR, reajustados</t>
  </si>
  <si>
    <t>Estimación y/o castigos de deudas incobrables, según criterios financieros</t>
  </si>
  <si>
    <t>Rentas tributables no reconocidas financieramente</t>
  </si>
  <si>
    <t>Gastos agregados por donaciones</t>
  </si>
  <si>
    <t>Gastos que se deben agregar a la RLI según el art. 33 N° 1 LIR</t>
  </si>
  <si>
    <t>Ingreso diferido por cambio de régimen</t>
  </si>
  <si>
    <t>Costos y gastos asociados a  ingresos no renta (art. 17 LIR), generados</t>
  </si>
  <si>
    <t>Proporcionalidad gastos imputados a ingresos no renta y/o rentas exentas</t>
  </si>
  <si>
    <t xml:space="preserve">Intereses devengados por inversiones en bonos del art. 104 LIR </t>
  </si>
  <si>
    <t>Ingresos devengados por cambio de régimen</t>
  </si>
  <si>
    <t>Ajustes por precios de transferencia, según art. 41 E LIR</t>
  </si>
  <si>
    <t xml:space="preserve">Gastos adeudados por cambio de régimen </t>
  </si>
  <si>
    <t xml:space="preserve">Castigo de deudas incobrables, según art. 31 inc. 4° N° 4 LIR </t>
  </si>
  <si>
    <t>Depreciación tributaria del ejercicio</t>
  </si>
  <si>
    <t>Gasto goodwill tributario del ejercicio</t>
  </si>
  <si>
    <t>Impuesto específico a la actividad minera</t>
  </si>
  <si>
    <t>Componente ad valorem del royalty minero según art. 2 Ley N° 21.591</t>
  </si>
  <si>
    <t>Componente sobre la rentabilidad del royalty minero según art. 3 o art. 4 Ley N° 21.591</t>
  </si>
  <si>
    <t xml:space="preserve">Gastos rechazados afectos a la tributación del art. 21 inc. 1°  LIR </t>
  </si>
  <si>
    <t xml:space="preserve">Gastos rechazados afectos a la tributación del art. 21 inc. 3° LIR </t>
  </si>
  <si>
    <t>Otras partidas</t>
  </si>
  <si>
    <t>Rentas exentas IDPC (art. 33 N°2 LIR )</t>
  </si>
  <si>
    <t>Dividendos y/o utilidades sociales percibidos o devengados (art. 33 N° 2 LIR)</t>
  </si>
  <si>
    <t>Dividendos y/o utilidades sociales percibidas o devengadas (art. 33 N° 2 LIR), ingresos no renta</t>
  </si>
  <si>
    <t>Gastos aceptados por donaciones</t>
  </si>
  <si>
    <t>Ingresos no renta, generados (art. 17 LIR)</t>
  </si>
  <si>
    <t>Pérdidas de ejercicios anteriores (art. 31 N° 3 LIR)</t>
  </si>
  <si>
    <t>Renta líquida imponible antes de rebaja por incentivo al ahorro (art. 14 letra E) LIR) y/o por pago de IDPC voluntario (art. 14 letra A) N°6 LIR y art. 42° transitorio Ley N° 21.210) o pérdida tributaria</t>
  </si>
  <si>
    <t xml:space="preserve">Incentivo al ahorro según art. 14 letra E) LIR </t>
  </si>
  <si>
    <t>Base del IDPC voluntario según  art. 14 letra A) N°  6 LIR y art. 42° transitorio Ley N° 21.210</t>
  </si>
  <si>
    <t>Renta líquida imponible afecta a IDPC o pérdida tributaria del ejercicio</t>
  </si>
  <si>
    <t>RECUADRO Nº 13: DETERMINACIÓN DEL RAI (ART. 14 LETRA A) LIR)</t>
  </si>
  <si>
    <t>CPT positivo final (recuadro N° 14)</t>
  </si>
  <si>
    <t>CPT negativo final (recuadro N° 14)</t>
  </si>
  <si>
    <t>Saldo negativo del registro REX al término del ejercicio</t>
  </si>
  <si>
    <t>Remesas, retiros o dividendos repartidos en el ejercicio, reajustados</t>
  </si>
  <si>
    <t>Subtotal</t>
  </si>
  <si>
    <t>Saldo positivo del registro REX al término del ejercicio, antes de imputaciones</t>
  </si>
  <si>
    <t>Capital aportado debidamente reajustado (incluye aumentos y disminuciones efectivas)</t>
  </si>
  <si>
    <t>Saldo FUR  (cuando no haya sido considerado dentro del valor del capital aportado a la empresa)</t>
  </si>
  <si>
    <t>Sobreprecio obtenido en la colocación de acciones de propia emisión, debidamente reajustado</t>
  </si>
  <si>
    <t>Rentas afectas a IGC o IA (RAI) del ejercicio</t>
  </si>
  <si>
    <t xml:space="preserve">RECUADRO Nº 14:  RAZONABILIDAD CAPITAL PROPIO TRIBUTARIO (ART. 14 LETRA A) O G) LIR) </t>
  </si>
  <si>
    <t>CPT positivo inicial</t>
  </si>
  <si>
    <t>CPT negativo inicial</t>
  </si>
  <si>
    <t>Corrección monetaria capital propio tributario inicial</t>
  </si>
  <si>
    <t>Aumentos (efectivos) de capital del ejercicio, actualizados</t>
  </si>
  <si>
    <t>Disminuciones (efectivas) de capital del ejercicio, actualizadas</t>
  </si>
  <si>
    <t>Renta líquida imponible afecta a IDPC del ejercicio</t>
  </si>
  <si>
    <t xml:space="preserve">Pérdida tributaria del ejercicio al 31 de diciembre </t>
  </si>
  <si>
    <t>Rentas exentas del IDPC e ingresos no renta (positivo), generados por la empresa en el ejercicio</t>
  </si>
  <si>
    <t>Pérdida por rentas exentas del IDPC e ingresos no renta del ejercicio</t>
  </si>
  <si>
    <t>Retiros o dividendos percibidos en el ejercicio por participaciones en otras empresas</t>
  </si>
  <si>
    <t>Aumentos del ejercicio (por reorganizaciones)</t>
  </si>
  <si>
    <t>Disminuciones del ejercicio (por reorganizaciones)</t>
  </si>
  <si>
    <t>Crédito total disponible imputable contra impuestos finales (IPE), del ejercicio</t>
  </si>
  <si>
    <t>Incentivo al ahorro según art. 14 letra E) LIR</t>
  </si>
  <si>
    <t>Base del IDPC voluntario según  art. 14 letra A) N°  6 LIR</t>
  </si>
  <si>
    <t>Otras partidas a agregar</t>
  </si>
  <si>
    <t>Otras partidas a deducir</t>
  </si>
  <si>
    <t>CPT positivo final</t>
  </si>
  <si>
    <t>CPT negativo final</t>
  </si>
  <si>
    <t xml:space="preserve">RECUADRO N° 15: REGISTRO TRIBUTARIO DE RENTAS EMPRESARIALES Y MOVIMIENTO STUT (ART. 14 LETRA A) LIR) </t>
  </si>
  <si>
    <t>RENTAS CON TRIBUTACIÓN CUMPLIDA</t>
  </si>
  <si>
    <t>RENTAS EXENTAS</t>
  </si>
  <si>
    <t>INR</t>
  </si>
  <si>
    <t>RAP Y DIFERENCIA INICIAL EX ART. 14 TER A) LIR</t>
  </si>
  <si>
    <t>ISFUT / ISIF</t>
  </si>
  <si>
    <t>OTRAS</t>
  </si>
  <si>
    <t>Remanente ejercicio anterior o saldo inicial reajustado (saldo positivo)</t>
  </si>
  <si>
    <t>Remanente ejercicio anterior o saldo inicial reajustado (saldo negativo)</t>
  </si>
  <si>
    <t>Monto acogido al ISIF, según art. 10 Ley N° 21.681, reajustado</t>
  </si>
  <si>
    <t>+/-</t>
  </si>
  <si>
    <t>Reversos y/o disminuciones del ejercicio (propios)</t>
  </si>
  <si>
    <t>Aumentos del ejercicio (propios)</t>
  </si>
  <si>
    <t>Otros aumentos del ejercicio</t>
  </si>
  <si>
    <t>Otras disminuciones del ejercicio</t>
  </si>
  <si>
    <t>Remesas, retiros o dividendos imputados a los RTRE, reajustados</t>
  </si>
  <si>
    <t>Retiros en exceso y devoluciones de capital imputados en el ejercicio, reajustados</t>
  </si>
  <si>
    <t>Remanente ejercicio siguiente (saldo positivo)</t>
  </si>
  <si>
    <t>Remanente ejercicio siguiente (saldo negativo)</t>
  </si>
  <si>
    <t>RECUADRO N° 16: REGISTRO SAC (ART. 14 LETRA A) LIR)</t>
  </si>
  <si>
    <t xml:space="preserve">
</t>
  </si>
  <si>
    <t>Acumulados a contar desde el 01.01.2017</t>
  </si>
  <si>
    <t>Acumulados hasta el 31.12.2016</t>
  </si>
  <si>
    <t>No Sujeto a Restitución</t>
  </si>
  <si>
    <t>Sujeto a Restitución</t>
  </si>
  <si>
    <t>IPE</t>
  </si>
  <si>
    <t>Sin D° Devolución</t>
  </si>
  <si>
    <t>Con D° Devolución</t>
  </si>
  <si>
    <t>Remanente ejercicio anterior o saldo inicial (saldo positivo)</t>
  </si>
  <si>
    <t>Remanente ejercicio anterior o saldo inicial (saldo negativo)</t>
  </si>
  <si>
    <t>Monto imputado al ISIF art. 10  Ley N° 21.681, reajustado</t>
  </si>
  <si>
    <t>IDPC e IPE RLI generada en el ejercicio</t>
  </si>
  <si>
    <t>IDPC e IPE retiros o dividendos percibidos</t>
  </si>
  <si>
    <t>Asignado a remesas, retiros o dividendos efectuados en el ejercicio, reajustados</t>
  </si>
  <si>
    <t>Asignado a retiros en exceso y devoluciones de capital efectuados en el ejercicio, reajustados</t>
  </si>
  <si>
    <t>IDPC e IPE asignado a gastos rechazados del art. 21 inc. 1° no afectos a IU 40% y del inc. 2° LIR</t>
  </si>
  <si>
    <t>F1926</t>
  </si>
  <si>
    <t>FOLIO</t>
  </si>
  <si>
    <t>Declaración Jurada anual sobre Base Imponible de Primera Categoría y Datos Contables Balance</t>
  </si>
  <si>
    <t>SECCIÓN A: IDENTIFICACIÓN DEL DECLARANTE</t>
  </si>
  <si>
    <t>ROL ÚNICO TRIBUTARIO   C1</t>
  </si>
  <si>
    <t>NOMBRE O RAZÓN SOCIAL</t>
  </si>
  <si>
    <t>Folio Renta Líquida Imponible o Pérdida Tributaria</t>
  </si>
  <si>
    <t>DOMICILIO</t>
  </si>
  <si>
    <t>COMUNA</t>
  </si>
  <si>
    <t>N° Inicio</t>
  </si>
  <si>
    <t>N° Final</t>
  </si>
  <si>
    <t>C23</t>
  </si>
  <si>
    <t>C24</t>
  </si>
  <si>
    <t>CORREO ELECTRÓNICO</t>
  </si>
  <si>
    <t>TELÉFONO</t>
  </si>
  <si>
    <t>SECCIÓN B:  DETERMINACIÓN DE LA BASE IMPONIBLE DE PRIMERA CATEGORÍA</t>
  </si>
  <si>
    <t>N°</t>
  </si>
  <si>
    <t>Conceptos y/o Partidas que componen la RLI</t>
  </si>
  <si>
    <t>Id. Cuenta según clasificador de cuentas</t>
  </si>
  <si>
    <t>Descripción del ajuste practicado</t>
  </si>
  <si>
    <t>Monto del ajuste</t>
  </si>
  <si>
    <t>C0</t>
  </si>
  <si>
    <t>C2</t>
  </si>
  <si>
    <t>C3</t>
  </si>
  <si>
    <t>C4</t>
  </si>
  <si>
    <t>C5</t>
  </si>
  <si>
    <t>C6</t>
  </si>
  <si>
    <t>5.01.15.03</t>
  </si>
  <si>
    <t>5.01.08.11</t>
  </si>
  <si>
    <t xml:space="preserve">Crédito Total Disponible por Impuestos pagados en el exterior </t>
    <phoneticPr fontId="27" type="noConversion"/>
  </si>
  <si>
    <t>5.01.15.01</t>
  </si>
  <si>
    <t xml:space="preserve">SECCIÓN C: AJUSTES AL PATRIMONIO FINANCIERO </t>
  </si>
  <si>
    <t xml:space="preserve"> Id. Cod. Partida</t>
  </si>
  <si>
    <t>Id. Plan de cuentas utilizado en registros contables</t>
  </si>
  <si>
    <t>Nombre de la cuenta según registros contables</t>
  </si>
  <si>
    <r>
      <t>Monto ajuste IFRS 1</t>
    </r>
    <r>
      <rPr>
        <vertAlign val="superscript"/>
        <sz val="8"/>
        <rFont val="Arial"/>
        <family val="2"/>
      </rPr>
      <t>era</t>
    </r>
    <r>
      <rPr>
        <sz val="8"/>
        <rFont val="Arial"/>
        <family val="2"/>
      </rPr>
      <t xml:space="preserve"> aplicación a Patrimonio Financiero</t>
    </r>
  </si>
  <si>
    <t>Monto ajuste del ejercicio que afecta Patrimonio Financiero</t>
  </si>
  <si>
    <t>Saldo deudor</t>
  </si>
  <si>
    <t>Saldo acreedor</t>
  </si>
  <si>
    <t>C7</t>
  </si>
  <si>
    <t>C8</t>
  </si>
  <si>
    <t>C9</t>
  </si>
  <si>
    <t>C10</t>
  </si>
  <si>
    <t>C11</t>
  </si>
  <si>
    <t>C12</t>
  </si>
  <si>
    <t>C13</t>
  </si>
  <si>
    <t>C14</t>
  </si>
  <si>
    <t xml:space="preserve">SECCIÓN D: CUADRO RESUMEN </t>
  </si>
  <si>
    <t>TOTAL SECCION B</t>
  </si>
  <si>
    <t>TOTAL SECCION C</t>
  </si>
  <si>
    <t>Total de Casos Informados</t>
  </si>
  <si>
    <t>Total ajustes en la determinación de la base imponible de primera categoría</t>
  </si>
  <si>
    <r>
      <t>Total monto ajuste IFRS 1</t>
    </r>
    <r>
      <rPr>
        <vertAlign val="superscript"/>
        <sz val="8"/>
        <rFont val="Arial"/>
        <family val="2"/>
      </rPr>
      <t>era</t>
    </r>
    <r>
      <rPr>
        <sz val="8"/>
        <rFont val="Arial"/>
        <family val="2"/>
      </rPr>
      <t xml:space="preserve"> aplicación a Patrimonio Financiero</t>
    </r>
  </si>
  <si>
    <t xml:space="preserve">Total monto ajuste del ejercicio a Patrimonio Financiero </t>
  </si>
  <si>
    <t>Resultado Financiero 
 [9]</t>
  </si>
  <si>
    <t>Total Agregados
 [1]</t>
  </si>
  <si>
    <t>Total Deducciones 
[2]</t>
  </si>
  <si>
    <t>Deducción Beneficio 14 E 
 [4]</t>
  </si>
  <si>
    <t>Renta Líquida o Pérdida Tributaria</t>
  </si>
  <si>
    <t>C27</t>
  </si>
  <si>
    <t>C16</t>
  </si>
  <si>
    <t>C17</t>
  </si>
  <si>
    <t>C25</t>
  </si>
  <si>
    <t>C28</t>
  </si>
  <si>
    <t>C19</t>
  </si>
  <si>
    <t>C20</t>
  </si>
  <si>
    <t>C21</t>
  </si>
  <si>
    <t>C22</t>
  </si>
  <si>
    <t>C15</t>
  </si>
  <si>
    <t>DECLARO BAJO JURAMENTO QUE LOS DATOS CONTENIDOS EN EL PRESENTE DOCUMENTO SON LA EXPRESIÓN FIEL DE LA VERDAD, POR LO QUE ASUMO LA RESPONSABILIDAD CORRESPONDIENTE.</t>
  </si>
  <si>
    <t>RUT REPRESENTANTE LEGAL</t>
  </si>
  <si>
    <t>Declaración Jurada anual sobre retiros, remesas y/o dividendos distribuidos,  o cantidades distribuidas a cualquier título  y créditos correspondientes, efectuados por contribuyentes sujetos al régimen de la letra A) y al número 3 de la letra D) del artículo 14 de la LIR,  y sobre saldo de retiros en exceso pendientes de imputación.</t>
  </si>
  <si>
    <t>F1948</t>
  </si>
  <si>
    <t>Sección A: IDENTIFICACIÓN DEL DECLARANTE</t>
  </si>
  <si>
    <t>ROL ÚNICO TRIBUTARIO</t>
  </si>
  <si>
    <t>APELLIDO PATERNO O RAZÓN SOCIAL</t>
  </si>
  <si>
    <t>APELLIDO MATERNO</t>
  </si>
  <si>
    <t>NOMBRES</t>
  </si>
  <si>
    <t xml:space="preserve">CORREO ELECTRÓNICO </t>
  </si>
  <si>
    <t>PERIODO</t>
  </si>
  <si>
    <t xml:space="preserve">Sección B: </t>
  </si>
  <si>
    <t>ANTECEDENTES DE LOS INFORMADOS (Receptor de los retiros, remesas o dividendos. Persona natural o jurídica)</t>
  </si>
  <si>
    <t>Fecha del retiro, remesa y/o dividendo distribuido</t>
  </si>
  <si>
    <t>RUT del Pleno Propietario  o Usufructuario  receptor del retiro, remesa y/o dividendo distribuido</t>
  </si>
  <si>
    <t>Usfructuario beneficiario del retiro, remesa y/o dividendo distribuido</t>
  </si>
  <si>
    <t>Cantidad de acciones al 31/12</t>
  </si>
  <si>
    <t>MONTOS DE RETIROS, REMESAS O DIVIDENDOS REAJUSTADOS ($)</t>
  </si>
  <si>
    <t>CRÉDITOS PARA IMPUESTO GLOBAL COMPLEMENTARIO O ADICIONAL</t>
  </si>
  <si>
    <t>Devolución de capital Art.17 N° 7 LIR.</t>
  </si>
  <si>
    <t>Número de Certificado</t>
  </si>
  <si>
    <t>Afectos a los Impuestos Global Complementario y/o Impuesto Adicional</t>
  </si>
  <si>
    <t>Rentas Exentas e Ingresos No Constitutivos de Renta (REX)</t>
  </si>
  <si>
    <t>Acumulados a Contar del 01.01.2017</t>
  </si>
  <si>
    <t>Acumulados Hasta el 31.12.2016</t>
  </si>
  <si>
    <t>Crédito por impuesto tasa adicional, Ex. Art. 21  LIR.</t>
  </si>
  <si>
    <t>Rentas Con Tributación Cumplida</t>
  </si>
  <si>
    <t xml:space="preserve">Rentas Exentas </t>
  </si>
  <si>
    <t>Ingresos No Constitutivos de  Renta</t>
  </si>
  <si>
    <t>Asociados a Rentas Afectas</t>
  </si>
  <si>
    <t>Asociados a Rentas Exentas</t>
  </si>
  <si>
    <t xml:space="preserve">Crédito por IPE </t>
  </si>
  <si>
    <t>Asociados a Rentas Exentas (artículo 11, Ley 18.401)</t>
  </si>
  <si>
    <t>Rentas provenientes del registro RAP y Diferencia Inicial de sociedad acogida al ex Art. 14 TER A) LIR</t>
  </si>
  <si>
    <t>Otras rentas percibidas Sin Prioridad en su orden de imputación</t>
  </si>
  <si>
    <t>Exceso Distribuciones Desproporcionadas 
(N°9 Art.14 A)</t>
  </si>
  <si>
    <t>Utilidades afectadas con impuesto sustitutivo al FUT (ISFUT) Ley N°20.780</t>
  </si>
  <si>
    <t>Rentas generadas hasta el 31.12.1983 y/o utilidades afectadas con impuesto sustitutivo al FUT (ISFUT) Ley N°21.210 y/o con impuesto sustitutivo de impuestos finales (ISIF) Ley N° 21.681</t>
  </si>
  <si>
    <t>Rentas Exentas de Impuesto Global Complementario (IGC) (Artículo 11, Ley 18.401), Afectas a Impuesto Adicional</t>
  </si>
  <si>
    <t>Rentas Exentas de Impuesto Global Complementario (IGC) y/o Impuesto Adicional (IA)</t>
  </si>
  <si>
    <t>No Sujetos a Restitución generados Hasta el 31.12.2019</t>
  </si>
  <si>
    <t>No Sujetos a Restitución generados a contar del 01.01.2020</t>
  </si>
  <si>
    <t>Sujetos a Restitución</t>
  </si>
  <si>
    <t>Sin derecho a devolución</t>
  </si>
  <si>
    <t>Con derecho a devolución</t>
  </si>
  <si>
    <t>GERARDO ARTURO ESCUDERO TOLEDO</t>
  </si>
  <si>
    <t>Con crédito por IDPC generados a contar del 01.01.2017</t>
  </si>
  <si>
    <t>Con crédito por IDPC acumulados  hasta el 31.12.2016</t>
  </si>
  <si>
    <t>Con  derecho a crédito por pago de IDPC voluntario</t>
  </si>
  <si>
    <t>Sin derecho a crédito</t>
  </si>
  <si>
    <t>C1</t>
  </si>
  <si>
    <t>C18</t>
  </si>
  <si>
    <t>C26</t>
  </si>
  <si>
    <t>C29</t>
  </si>
  <si>
    <t>C30</t>
  </si>
  <si>
    <t>C31</t>
  </si>
  <si>
    <t>C32</t>
  </si>
  <si>
    <t>C33</t>
  </si>
  <si>
    <t>20.03.2025</t>
  </si>
  <si>
    <t>1-9</t>
  </si>
  <si>
    <t>Sociedad NSD Ltda.</t>
  </si>
  <si>
    <t>13.04.2026</t>
  </si>
  <si>
    <t>20-5</t>
  </si>
  <si>
    <t>Srta. Arriagada</t>
  </si>
  <si>
    <t xml:space="preserve">Sección C: </t>
  </si>
  <si>
    <t>ANTECEDENTES DE RETIROS EN EXCESO (Detalle de saldos pendientes de imputación)</t>
  </si>
  <si>
    <t>RUT del beneficiario del retiro (titular o cesionario)</t>
  </si>
  <si>
    <t xml:space="preserve">Montos de retiros en exceso, reajustados ($)
</t>
  </si>
  <si>
    <t>C34</t>
  </si>
  <si>
    <t>C35</t>
  </si>
  <si>
    <t>CUADRO RESUMEN FINAL DE LA DECLARACION</t>
  </si>
  <si>
    <t xml:space="preserve">Total de casos Informados </t>
  </si>
  <si>
    <t>Rentas Exentas e Ingresos No Contitutivos de Renta (REX)</t>
  </si>
  <si>
    <t>Exentos de impuesto global complementario (IGC) y/o impuesto adicional (IA)</t>
  </si>
  <si>
    <r>
      <t>Asociados a Rentas Exentas</t>
    </r>
    <r>
      <rPr>
        <b/>
        <sz val="11"/>
        <rFont val="Calibri"/>
        <family val="2"/>
      </rPr>
      <t xml:space="preserve"> </t>
    </r>
    <r>
      <rPr>
        <sz val="11"/>
        <rFont val="Calibri"/>
        <family val="2"/>
      </rPr>
      <t>(artículo 11, Ley 18.401)</t>
    </r>
  </si>
  <si>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</si>
  <si>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</si>
  <si>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</si>
  <si>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</si>
  <si>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</si>
  <si>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</si>
  <si>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</si>
  <si>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</si>
  <si>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</si>
  <si>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</si>
  <si>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</si>
  <si>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</si>
  <si>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</si>
  <si>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</si>
  <si>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</si>
  <si>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</si>
  <si>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</si>
  <si>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</si>
  <si>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</si>
  <si>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</si>
  <si>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</si>
  <si>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</si>
  <si>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</si>
  <si>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</si>
  <si>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</si>
  <si>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</si>
  <si>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</si>
  <si>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</si>
  <si>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</si>
  <si>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</si>
  <si>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</si>
  <si>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DECLARO BAJO JURAMENTO QUE LOS DATOS CONTENIDOS EN EL PRESENTE DOCUMENTO SON LA EXPRESION FIEL DE LA VERDAD, POR LO QUE ASUMO LA RESPONSABILIDAD CORRESPONDIENTE</t>
  </si>
  <si>
    <t xml:space="preserve"> RUT DEL RESPONSABLE DE LA CONFECCIÓN DEL REGISTRO</t>
  </si>
  <si>
    <t>ÍNDICE</t>
  </si>
  <si>
    <t>ANEXO DJ 1847 y DJ1926</t>
  </si>
  <si>
    <t>GET</t>
  </si>
  <si>
    <t>Anexo único para las Declaraciones Juradas (DJ)  N°1847 y 1926</t>
  </si>
  <si>
    <t>DDJJ 1847 deberá considerar datos de Estructura de Cuentas del Balance de 8 Columnas</t>
  </si>
  <si>
    <t>DDJJ 1926 Sección B, deberá considerar las partidas de Ajustes Tributarios Seccion III de este Anexo (cuentas inician con N° 5)</t>
  </si>
  <si>
    <t>SECCIÓN I</t>
  </si>
  <si>
    <t>ESTRUCTURA DE CUENTAS DEL BALANCE DE 8 COLUMNAS</t>
  </si>
  <si>
    <t>Código ID Partida</t>
  </si>
  <si>
    <t>Descripción</t>
  </si>
  <si>
    <t>1.00.00.00</t>
  </si>
  <si>
    <t>ACTIVOS</t>
  </si>
  <si>
    <t>1.01.00.00</t>
  </si>
  <si>
    <t>ACTIVOS CORRIENTES</t>
  </si>
  <si>
    <t>1.01.01.00</t>
  </si>
  <si>
    <t>Disponible</t>
  </si>
  <si>
    <t>1.01.03.00</t>
  </si>
  <si>
    <t>Depósitos a plazo</t>
  </si>
  <si>
    <t>1.01.05.00</t>
  </si>
  <si>
    <t>Valores negociables</t>
  </si>
  <si>
    <t>1.01.07.00</t>
  </si>
  <si>
    <t xml:space="preserve">Instrumentos derivados </t>
  </si>
  <si>
    <t>1.01.09.00</t>
  </si>
  <si>
    <t>Pactos Retrocompra- Retroventa</t>
  </si>
  <si>
    <t>1.01.15.00</t>
  </si>
  <si>
    <t>Inversiones en el Exterior</t>
  </si>
  <si>
    <t>1.01.20.00</t>
  </si>
  <si>
    <t>Deudores por venta, neto (excluye deudores por leasing)</t>
  </si>
  <si>
    <t>1.01.21.00</t>
  </si>
  <si>
    <t>Deudores por Leasing</t>
  </si>
  <si>
    <t>1.01.25.00</t>
  </si>
  <si>
    <t xml:space="preserve">Documentos por cobrar </t>
  </si>
  <si>
    <t>1.01.30.00</t>
  </si>
  <si>
    <t>Deudores varios</t>
  </si>
  <si>
    <t>1.01.40.00</t>
  </si>
  <si>
    <t>Documentos y cuentas por cobrar empresas relacionadas situadas en Chile (cuenta corriente mercantil)</t>
  </si>
  <si>
    <t>1.01.41.00</t>
  </si>
  <si>
    <t>Documentos y cuentas por cobrar empresas relacionadas situadas en el Extranjero (cuenta corriente mercantil)</t>
  </si>
  <si>
    <t>1.01.50.00</t>
  </si>
  <si>
    <t>Existencias, neto</t>
  </si>
  <si>
    <t>1.01.51.00</t>
  </si>
  <si>
    <t>Activos Biológicos, neto</t>
  </si>
  <si>
    <t>1.01.55.00</t>
  </si>
  <si>
    <t>Existencias en Tránsito</t>
  </si>
  <si>
    <t>1.01.59.00</t>
  </si>
  <si>
    <t>IVA Crédito Fiscal</t>
  </si>
  <si>
    <t>1.01.60.00</t>
  </si>
  <si>
    <t>Impuestos por recuperar</t>
  </si>
  <si>
    <t>1.01.61.00</t>
  </si>
  <si>
    <t>Créditos por Donaciones</t>
  </si>
  <si>
    <t>1.01.62.00</t>
  </si>
  <si>
    <t>Otros Créditos por recuperar</t>
  </si>
  <si>
    <t>1.01.63.00</t>
  </si>
  <si>
    <t>Gastos Anticipados</t>
  </si>
  <si>
    <t>1.01.64.00</t>
  </si>
  <si>
    <t>Impuesto Diferido</t>
  </si>
  <si>
    <t>1.01.70.00</t>
  </si>
  <si>
    <t>Bienes entregados en leasing</t>
  </si>
  <si>
    <t>1.01.99.00</t>
  </si>
  <si>
    <t>Otros activos corrientes</t>
  </si>
  <si>
    <t>1.02.00.00</t>
  </si>
  <si>
    <t>ACTIVOS NO CORRIENTES</t>
  </si>
  <si>
    <t>1.02.10.00</t>
  </si>
  <si>
    <t>Propiedad Planta y Equipos y Otros  (excepto bienes entregados en Leasing)</t>
  </si>
  <si>
    <t>1.02.11.00</t>
  </si>
  <si>
    <t>Terrenos</t>
  </si>
  <si>
    <t>1.02.12.00</t>
  </si>
  <si>
    <t>Construcción y obras de infraestructura</t>
  </si>
  <si>
    <t>1.02.13.00</t>
  </si>
  <si>
    <t>Maquinarias y equipos</t>
  </si>
  <si>
    <t>1.02.14.00</t>
  </si>
  <si>
    <t>Muebles y utiles</t>
  </si>
  <si>
    <t>1.02.15.00</t>
  </si>
  <si>
    <t>Equipos Computacionales y similares</t>
  </si>
  <si>
    <t>1.02.16.00</t>
  </si>
  <si>
    <t>Automóviles</t>
  </si>
  <si>
    <t>1.02.17.00</t>
  </si>
  <si>
    <t>Vehículos</t>
  </si>
  <si>
    <t>1.02.18.00</t>
  </si>
  <si>
    <t>Barcos y Aviones</t>
  </si>
  <si>
    <t>1.02.19.00</t>
  </si>
  <si>
    <t>Propiedades de Inversion</t>
  </si>
  <si>
    <t>1.02.25.00</t>
  </si>
  <si>
    <t>Software</t>
  </si>
  <si>
    <t>1.02.26.00</t>
  </si>
  <si>
    <t>Concesiones</t>
  </si>
  <si>
    <t>1.02.27.00</t>
  </si>
  <si>
    <t>Obras en Ejecución</t>
  </si>
  <si>
    <t>1.02.30.00</t>
  </si>
  <si>
    <t>Activos en Leasing</t>
  </si>
  <si>
    <t>1.02.90.00</t>
  </si>
  <si>
    <t>Depreciación Acumulada (excepto Automoviles y Activos en Leasing)</t>
  </si>
  <si>
    <t>1.02.92.00</t>
  </si>
  <si>
    <t>Depreciación Acumulada Automóviles</t>
  </si>
  <si>
    <t>1.02.95.00</t>
  </si>
  <si>
    <t>Depreciación Acumulada Activos en Leasing</t>
  </si>
  <si>
    <t>1.02.99.00</t>
  </si>
  <si>
    <t>Otros Bienes Propiedad Planta y Equipo</t>
  </si>
  <si>
    <t>1.03.00.00</t>
  </si>
  <si>
    <t>OTROS ACTIVOS NO CORRIENTES</t>
  </si>
  <si>
    <t>1.03.01.00</t>
  </si>
  <si>
    <t>Inversiones en empresas relacionadas</t>
  </si>
  <si>
    <t>1.03.03.00</t>
  </si>
  <si>
    <t>Menor valor de inversiones (Plusvalias, Goodwill)</t>
  </si>
  <si>
    <t>1.03.04.00</t>
  </si>
  <si>
    <t>Mayor valor de inversiones (Minusvalias, Badwill)</t>
  </si>
  <si>
    <t>1.03.05.00</t>
  </si>
  <si>
    <t>Cuenta Particular Socio</t>
  </si>
  <si>
    <t>1.03.10.00</t>
  </si>
  <si>
    <r>
      <t xml:space="preserve">Inversiones en otras sociedades </t>
    </r>
    <r>
      <rPr>
        <b/>
        <sz val="10"/>
        <rFont val="Arial"/>
        <family val="2"/>
      </rPr>
      <t>en Chile</t>
    </r>
  </si>
  <si>
    <t>1.03.11.00</t>
  </si>
  <si>
    <t>Inversiones en otras sociedades en el extranjero</t>
  </si>
  <si>
    <t>1.03.15.00</t>
  </si>
  <si>
    <t>Cuenta en participacion</t>
  </si>
  <si>
    <t>1.03.16.00</t>
  </si>
  <si>
    <t>Inversion en Agencias</t>
  </si>
  <si>
    <t>1.03.20.00</t>
  </si>
  <si>
    <t>Deudores a largo plazo</t>
  </si>
  <si>
    <t>1.03.24.00</t>
  </si>
  <si>
    <t>Anticipo y préstamos a los empleados</t>
  </si>
  <si>
    <t>1.03.25.00</t>
  </si>
  <si>
    <t>Anticipo a proveedores</t>
  </si>
  <si>
    <t>1.03.30.00</t>
  </si>
  <si>
    <t>Gastos pagados por anticipado</t>
  </si>
  <si>
    <t>1.03.31.00</t>
  </si>
  <si>
    <t>Gastos de Investigación y Desarrollo</t>
  </si>
  <si>
    <t>1.03.32.00</t>
  </si>
  <si>
    <t>Gastos Diferidos</t>
  </si>
  <si>
    <t>1.03.33.00</t>
  </si>
  <si>
    <t>Menor Valor en Colocacion de bonos</t>
  </si>
  <si>
    <t>1.03.40.00</t>
  </si>
  <si>
    <t>Intereses Diferidos por Leasing</t>
  </si>
  <si>
    <t>1.03.41.00</t>
  </si>
  <si>
    <t>Otros Intereses Diferidos</t>
  </si>
  <si>
    <t>1.03.45.00</t>
  </si>
  <si>
    <t>Garantias</t>
  </si>
  <si>
    <t>1.03.50.00</t>
  </si>
  <si>
    <t xml:space="preserve">Impuestos diferidos </t>
  </si>
  <si>
    <t>1.03.60.00</t>
  </si>
  <si>
    <t>Intangibles distintos a la Plusvalia (neto)</t>
  </si>
  <si>
    <t>1.03.70.00</t>
  </si>
  <si>
    <t>Posicion de Cambio</t>
  </si>
  <si>
    <t>1.03.71.00</t>
  </si>
  <si>
    <t>Intereses Suspendidos</t>
  </si>
  <si>
    <t>1.03.98.00</t>
  </si>
  <si>
    <t>Cuentas de Orden de Activos</t>
  </si>
  <si>
    <t>1.03.99.00</t>
  </si>
  <si>
    <t>Otros Activos No Corrientes</t>
  </si>
  <si>
    <t>2.00.00.00</t>
  </si>
  <si>
    <t>PASIVOS</t>
  </si>
  <si>
    <t>2.01.00.00</t>
  </si>
  <si>
    <t>PASIVOS CORRIENTES</t>
  </si>
  <si>
    <t>2.01.01.00</t>
  </si>
  <si>
    <t xml:space="preserve">Obligaciones con bancos e instituciones financieras </t>
  </si>
  <si>
    <t>2.01.03.00</t>
  </si>
  <si>
    <t>Obligaciones con el público (Bonos Emitidos)</t>
  </si>
  <si>
    <t>2.01.04.00</t>
  </si>
  <si>
    <t>Obligaciones por Leasing</t>
  </si>
  <si>
    <t>2.01.07.00</t>
  </si>
  <si>
    <t>2.01.08.00</t>
  </si>
  <si>
    <t>Fondo Opcion de Compra por Pagar (Leasing)</t>
  </si>
  <si>
    <t>2.01.10.00</t>
  </si>
  <si>
    <t>Cuentas por pagar</t>
  </si>
  <si>
    <t>2.01.11.00</t>
  </si>
  <si>
    <t>Proveedores por Pagar</t>
  </si>
  <si>
    <t>2.01.12.00</t>
  </si>
  <si>
    <t>Acreedores varios</t>
  </si>
  <si>
    <t>2.01.14.00</t>
  </si>
  <si>
    <t>Documentos por pagar</t>
  </si>
  <si>
    <t>2.01.20.00</t>
  </si>
  <si>
    <t>Dividendos por pagar</t>
  </si>
  <si>
    <t>2.01.40.00</t>
  </si>
  <si>
    <t>Documentos y cuentas por pagar empresas relacionadas situadas en Chile (cuenta corriente mercantil)</t>
  </si>
  <si>
    <t>2.01.41.00</t>
  </si>
  <si>
    <t>Documentos y cuentas por pagar empresas relacionadas situadas en el Extranjero (cuenta corriente mercantil)</t>
  </si>
  <si>
    <t>2.01.50.00</t>
  </si>
  <si>
    <t>Provision de Indemnización</t>
  </si>
  <si>
    <t>2.01.51.00</t>
  </si>
  <si>
    <t>Provisiones por Vacaciones, por Bonos y por otros Beneficios a los Empleados</t>
  </si>
  <si>
    <t>2.01.54.00</t>
  </si>
  <si>
    <t>Otras Provisiones</t>
  </si>
  <si>
    <t>2.01.55.00</t>
  </si>
  <si>
    <t>Retenciones por Pagar</t>
  </si>
  <si>
    <t>2.01.59.00</t>
  </si>
  <si>
    <t xml:space="preserve">IVA Débito Fiscal </t>
  </si>
  <si>
    <t>2.01.60.00</t>
  </si>
  <si>
    <t>Impuesto a la renta por Pagar</t>
  </si>
  <si>
    <t>2.01.61.00</t>
  </si>
  <si>
    <t>Otros Impuestos por Pagar</t>
  </si>
  <si>
    <t>2.01.62.00</t>
  </si>
  <si>
    <t>Ingresos percibidos por adelantado</t>
  </si>
  <si>
    <t>2.01.70.00</t>
  </si>
  <si>
    <t>Anticipo de Clientes</t>
  </si>
  <si>
    <t>2.01.99.00</t>
  </si>
  <si>
    <t>Otros pasivos Corrientes</t>
  </si>
  <si>
    <t>2.02.00.00</t>
  </si>
  <si>
    <t>PASIVOS NO CORRIENTES</t>
  </si>
  <si>
    <t>2.02.01.00</t>
  </si>
  <si>
    <t>2.02.02.00</t>
  </si>
  <si>
    <t>2.02.03.00</t>
  </si>
  <si>
    <t>Documentos por pagar largo plazo</t>
  </si>
  <si>
    <t>2.02.04.00</t>
  </si>
  <si>
    <t>Acreedores varios largo plazo</t>
  </si>
  <si>
    <t>2.02.06.00</t>
  </si>
  <si>
    <t xml:space="preserve">Provisiones </t>
  </si>
  <si>
    <t>2.02.07.00</t>
  </si>
  <si>
    <t>2.02.98.00</t>
  </si>
  <si>
    <t>Cuentas de Orden de Pasivos</t>
  </si>
  <si>
    <t>2.02.99.00</t>
  </si>
  <si>
    <t>Otros pasivos NO Corrientes</t>
  </si>
  <si>
    <t>2.03.00.00</t>
  </si>
  <si>
    <t>PATRIMONIO</t>
  </si>
  <si>
    <t>2.03.01.00</t>
  </si>
  <si>
    <t>Capital pagado</t>
  </si>
  <si>
    <t>2.03.02.00</t>
  </si>
  <si>
    <t>Reserva revalorización capital</t>
  </si>
  <si>
    <t>2.03.03.00</t>
  </si>
  <si>
    <t>Sobreprecio en venta de acciones propias</t>
  </si>
  <si>
    <t>2.03.04.00</t>
  </si>
  <si>
    <t>Otras reservas</t>
  </si>
  <si>
    <t>2.03.05.00</t>
  </si>
  <si>
    <t>Reservas futuros dividendos</t>
  </si>
  <si>
    <t>2.03.06.00</t>
  </si>
  <si>
    <t>Utilidades acumuladas</t>
  </si>
  <si>
    <t>2.03.07.00</t>
  </si>
  <si>
    <t>Pérdidas acumuladas</t>
  </si>
  <si>
    <t>2.03.08.00</t>
  </si>
  <si>
    <t>Dividendos provisorios</t>
  </si>
  <si>
    <t>2.03.09.00</t>
  </si>
  <si>
    <t>Cuenta Obligada Socio</t>
  </si>
  <si>
    <t>2.03.20.00</t>
  </si>
  <si>
    <t>Reserva Ajuste IFRS por 1a Aplicación</t>
  </si>
  <si>
    <t>2.03.21.00</t>
  </si>
  <si>
    <t xml:space="preserve">Reserva Ajuste IFRS </t>
  </si>
  <si>
    <t>2.03.30.00</t>
  </si>
  <si>
    <t>Valor Mercado Intrumentos Derivados de Cobertura acogidos Ley 20.544</t>
  </si>
  <si>
    <t>2.03.31.00</t>
  </si>
  <si>
    <t>Valor Mercado Intrumentos Derivados de Cobertura No acogidos Ley 20.544</t>
  </si>
  <si>
    <t>2.03.99.00</t>
  </si>
  <si>
    <t>Otros ajustes patrimoniales</t>
  </si>
  <si>
    <t>SECCIÓN II</t>
  </si>
  <si>
    <t>ESTADO DE RESULTADOS</t>
  </si>
  <si>
    <t>3.01.00.00</t>
  </si>
  <si>
    <t>Resultado De Explotacion</t>
  </si>
  <si>
    <t>3.01.01.00</t>
  </si>
  <si>
    <t>Ingresos de explotación</t>
  </si>
  <si>
    <t>3.01.02.00</t>
  </si>
  <si>
    <t xml:space="preserve">Costos de explotación </t>
  </si>
  <si>
    <t>3.01.03.00</t>
  </si>
  <si>
    <t xml:space="preserve">Gastos de administración y ventas </t>
  </si>
  <si>
    <t>3.01.11.00</t>
  </si>
  <si>
    <t>Ingresos de explotación con partes relacionadas del exterior</t>
  </si>
  <si>
    <t>3.01.12.00</t>
  </si>
  <si>
    <t>Costos de explotación con relacionados del exterior</t>
  </si>
  <si>
    <t>3.01.13.00</t>
  </si>
  <si>
    <t>Gastos de administración y ventas con relacionados del exterior</t>
  </si>
  <si>
    <t>3.02.00.00</t>
  </si>
  <si>
    <t>Resultado Fuera De Explotacion</t>
  </si>
  <si>
    <t>3.02.01.00</t>
  </si>
  <si>
    <t>Ingresos financieros</t>
  </si>
  <si>
    <t>3.02.02.00</t>
  </si>
  <si>
    <t>Utilidad (pérdida) inversiones empresas relacionadas</t>
  </si>
  <si>
    <t>3.02.03.00</t>
  </si>
  <si>
    <t>Otros ingresos fuera de la explotación</t>
  </si>
  <si>
    <t>3.02.06.00</t>
  </si>
  <si>
    <t xml:space="preserve">Gastos financieros con empresas relacionadas </t>
  </si>
  <si>
    <t>3.02.07.00</t>
  </si>
  <si>
    <t xml:space="preserve">Gastos financieros con empresas no relacionadas </t>
  </si>
  <si>
    <t>3.02.08.00</t>
  </si>
  <si>
    <t>Resultado por Instrumentos Derivados</t>
  </si>
  <si>
    <t>3.02.11.00</t>
  </si>
  <si>
    <t>Ingresos financieros con partes relacionadas del exterior</t>
  </si>
  <si>
    <t>3.02.16.00</t>
  </si>
  <si>
    <t>Gastos financieros con partes relacionadas del exterior</t>
  </si>
  <si>
    <t>3.02.30.00</t>
  </si>
  <si>
    <t>Intereses percibidos o devengado con partes relacionadas del exterior</t>
  </si>
  <si>
    <t>3.02.31.00</t>
  </si>
  <si>
    <t>Intereses pagados o adeudados con partes relacionadas del exterior</t>
  </si>
  <si>
    <t>3.03.00.00</t>
  </si>
  <si>
    <t>Resultados que no representan flujo de fondos</t>
  </si>
  <si>
    <t>3.03.01.00</t>
  </si>
  <si>
    <t>Depreciacion</t>
  </si>
  <si>
    <t>3.03.02.00</t>
  </si>
  <si>
    <t>Deterioros</t>
  </si>
  <si>
    <t>3.03.03.00</t>
  </si>
  <si>
    <t>Amortización Intangibles distintos a las Plusvalias</t>
  </si>
  <si>
    <t>3.03.04.00</t>
  </si>
  <si>
    <t>Amortización menor valor de inversiones (Goodwill)</t>
  </si>
  <si>
    <t>3.03.05.00</t>
  </si>
  <si>
    <t>Amortización mayor valor de inversiones</t>
  </si>
  <si>
    <t>3.03.06.00</t>
  </si>
  <si>
    <t>Castigos</t>
  </si>
  <si>
    <t>3.03.07.00</t>
  </si>
  <si>
    <t>Deudores Incobrables</t>
  </si>
  <si>
    <t>3.04.00.00</t>
  </si>
  <si>
    <t>Ajustes a Valor de Mercado</t>
  </si>
  <si>
    <t>3.04.01.00</t>
  </si>
  <si>
    <t>Valor Mercado Instrumentos Derivados acogidos Ley 20.544</t>
  </si>
  <si>
    <t>3.04.02.00</t>
  </si>
  <si>
    <r>
      <t xml:space="preserve">Valor Mercado Instrumentos Derivados </t>
    </r>
    <r>
      <rPr>
        <b/>
        <sz val="10"/>
        <rFont val="Arial"/>
        <family val="2"/>
      </rPr>
      <t xml:space="preserve">NO </t>
    </r>
    <r>
      <rPr>
        <sz val="10"/>
        <rFont val="Arial"/>
        <family val="2"/>
      </rPr>
      <t>acogidos Ley 20.544</t>
    </r>
  </si>
  <si>
    <t>3.04.03.00</t>
  </si>
  <si>
    <t>Ajuste Valor Mercado Existencias (VNR) y Activos Biologicos</t>
  </si>
  <si>
    <t>3.04.04.00</t>
  </si>
  <si>
    <t>Ajuste Valor Mercado Propiedad Planta y Equipo, Propiedad Inversion, Activos No Corrientes Mantenidos para la Venta</t>
  </si>
  <si>
    <t>3.04.05.00</t>
  </si>
  <si>
    <t>Ajuste Valor Mercado Fondos Mutuos</t>
  </si>
  <si>
    <t>3.04.06.00</t>
  </si>
  <si>
    <t>Ajuste Valor Mercado Valores Negociables</t>
  </si>
  <si>
    <t>3.04.07.00</t>
  </si>
  <si>
    <t>Ajuste Valor Neto Realización</t>
  </si>
  <si>
    <t>3.04.99.00</t>
  </si>
  <si>
    <t>Otros Ajustes a Valor Mercado</t>
  </si>
  <si>
    <t>3.05.00.00</t>
  </si>
  <si>
    <t>Otros Resultados</t>
  </si>
  <si>
    <t>3.05.01.00</t>
  </si>
  <si>
    <t>Resultado por la Enajenacion de Inversiones Permanentes</t>
  </si>
  <si>
    <t>3.05.02.00</t>
  </si>
  <si>
    <t>Resultado por la Enajenacion de Inversiones en otras sociedades</t>
  </si>
  <si>
    <t>3.05.05.00</t>
  </si>
  <si>
    <t>Resultado por la Enajenacion de Inversiones en Valores Negociables</t>
  </si>
  <si>
    <t>3.05.07.00</t>
  </si>
  <si>
    <t>Resultado por la Enajenacion Propiedad Planta y Equipos,Propiedad de Inversion y Activos no Corrientes mantenidos para la venta</t>
  </si>
  <si>
    <t>3.05.08.00</t>
  </si>
  <si>
    <t>Resultado enajenación Activo Fijo</t>
  </si>
  <si>
    <t>3.05.09.00</t>
  </si>
  <si>
    <t>Utilidad (pérdida) por resultados devengados en Otras Sociedades</t>
  </si>
  <si>
    <t>3.05.10.00</t>
  </si>
  <si>
    <t xml:space="preserve">Otros egresos fuera de la explotación </t>
  </si>
  <si>
    <t>3.05.11.00</t>
  </si>
  <si>
    <t>Corrección monetaria</t>
  </si>
  <si>
    <t>3.05.12.00</t>
  </si>
  <si>
    <t>Diferencias de cambio</t>
  </si>
  <si>
    <t>3.05.13.00</t>
  </si>
  <si>
    <t>Donaciones</t>
  </si>
  <si>
    <t>3.05.15.00</t>
  </si>
  <si>
    <t>Intereses,Multas y Reajustes</t>
  </si>
  <si>
    <t>3.05.16.00</t>
  </si>
  <si>
    <t>Patentes Municipales</t>
  </si>
  <si>
    <t>3.05.17.00</t>
  </si>
  <si>
    <t>Otros Impuestos</t>
  </si>
  <si>
    <t>3.06.00.00</t>
  </si>
  <si>
    <t xml:space="preserve">Resultado Antes de Impuesto a la Renta </t>
  </si>
  <si>
    <t>3.06.01.00</t>
  </si>
  <si>
    <t>Impuesto a La Renta</t>
  </si>
  <si>
    <t>3.06.02.00</t>
  </si>
  <si>
    <t xml:space="preserve"> </t>
  </si>
  <si>
    <t>SECCIÓN III</t>
  </si>
  <si>
    <t xml:space="preserve">  AJUSTES TRIBUTARIOS (DDJJ 1926 Sección B) </t>
  </si>
  <si>
    <t xml:space="preserve">Ajustes Tributarios (DDJJ 1846 Sección C) </t>
  </si>
  <si>
    <t>5.01.01.00</t>
  </si>
  <si>
    <t>Por Efectivo y Valores Negociables</t>
  </si>
  <si>
    <t>5.01.01.01</t>
  </si>
  <si>
    <t>Corr.mon. de las acciones de sociedades anónimas (SPA, FIP)  Art. 41 inciso 1 N°8</t>
  </si>
  <si>
    <t>5.01.01.02</t>
  </si>
  <si>
    <t>Corr.mon. de los aportes en sociedades de personas. Art. 41 inciso 1 N°9</t>
  </si>
  <si>
    <t>5.01.01.03</t>
  </si>
  <si>
    <t>Corr.mon.bonos, pagares y otros activos financieros</t>
  </si>
  <si>
    <t>5.01.01.04</t>
  </si>
  <si>
    <t>Interes a valor tributario por activos financieros</t>
  </si>
  <si>
    <t>5.01.01.05</t>
  </si>
  <si>
    <t>Dividendos o Retiros percibidos contabilizados en ingresos según registros contables</t>
  </si>
  <si>
    <t>5.01.01.06</t>
  </si>
  <si>
    <t>Ajuste por Valor Mercado de Fondos Mutuos</t>
  </si>
  <si>
    <t>5.01.01.07</t>
  </si>
  <si>
    <t xml:space="preserve">Ajuste por Valor Mercado otros instrumentos Financieros </t>
  </si>
  <si>
    <t>5.01.01.08</t>
  </si>
  <si>
    <t>Deterioro por activos financieros</t>
  </si>
  <si>
    <t>5.01.01.09</t>
  </si>
  <si>
    <t>Ajuste tasa efectiva por activos financieros</t>
  </si>
  <si>
    <t>5.01.01.10</t>
  </si>
  <si>
    <t xml:space="preserve">Resultado por Enajenación activos financieros según registros contables </t>
  </si>
  <si>
    <t>5.01.01.11</t>
  </si>
  <si>
    <t>Resultado por Enajenación activos financieros a valor tributario</t>
  </si>
  <si>
    <t>5.01.01.12</t>
  </si>
  <si>
    <t>Participaciones percibidos desde Fondos Mutuos, o Fondos de Inversión</t>
  </si>
  <si>
    <t>5.01.01.98</t>
  </si>
  <si>
    <t>Otros agregados al resultado tributario por activos financieros</t>
  </si>
  <si>
    <t>5.01.01.99</t>
  </si>
  <si>
    <t>Otros deducidos al resultado tributario por activos financieros</t>
  </si>
  <si>
    <t>5.01.02.00</t>
  </si>
  <si>
    <t>Por Instrumentos Derivados y contratos de Retrocompra o Retroventa</t>
  </si>
  <si>
    <t>5.01.02.01</t>
  </si>
  <si>
    <t>Valor mercado instrumentos derivados NO acogidos Ley 20.544</t>
  </si>
  <si>
    <t>5.01.02.02</t>
  </si>
  <si>
    <t>Valor mercado instrumentos derivados registrados en patrimonio acogidos Ley 20.544</t>
  </si>
  <si>
    <t>5.01.02.03</t>
  </si>
  <si>
    <t>Ineficacia por Instrumentos derivados</t>
  </si>
  <si>
    <t>5.01.02.04</t>
  </si>
  <si>
    <t>Ajuste por pactos o contratos de retrocompra y/o retroventa según registros contables</t>
  </si>
  <si>
    <t>5.01.02.05</t>
  </si>
  <si>
    <t>Ajuste por pactos, contratos de retrocompra y/o retroventa a valor tributario</t>
  </si>
  <si>
    <t>5.01.02.96</t>
  </si>
  <si>
    <t>Otros agregados al resultado tributario por instrumentos derivados</t>
  </si>
  <si>
    <t>5.01.02.97</t>
  </si>
  <si>
    <t>Otras deducciones al resultado tributario por instrumentos derivados</t>
  </si>
  <si>
    <t>5.01.02.98</t>
  </si>
  <si>
    <t>Otros agregados al resultado tributario por pactos, pactos retrocompra y/o retroventa</t>
  </si>
  <si>
    <t>5.01.02.99</t>
  </si>
  <si>
    <t>Otras deducciones al resultado tributario por pactos, pactos retrocompra y/o retroventa</t>
  </si>
  <si>
    <t>5.01.03.00</t>
  </si>
  <si>
    <t>Por deudores comerciales</t>
  </si>
  <si>
    <t>5.01.03.01</t>
  </si>
  <si>
    <t>Castigo directo deudores incobrables según registros contables</t>
  </si>
  <si>
    <t>5.01.03.02</t>
  </si>
  <si>
    <t>Estimación deudores incobrables según registros contables</t>
  </si>
  <si>
    <t>5.01.03.03</t>
  </si>
  <si>
    <t>Castigo deudores incobrables Art.31 Inciso 4 N°4  &gt; 365 días</t>
  </si>
  <si>
    <t>5.01.03.04</t>
  </si>
  <si>
    <t>Estimacion deudores incobrables Art.31 Inciso 4 N°4  &lt;= 365 días</t>
  </si>
  <si>
    <t>5.01.03.05</t>
  </si>
  <si>
    <t>Resultado por Venta de Cartera según registros contables</t>
  </si>
  <si>
    <t>5.01.03.06</t>
  </si>
  <si>
    <t>Resultado por Venta de Cartera a Valor Tributario</t>
  </si>
  <si>
    <t>5.01.03.07</t>
  </si>
  <si>
    <t>Ajuste por Colocaciones por efecto de Tasa Efectiva</t>
  </si>
  <si>
    <t>5.01.03.98</t>
  </si>
  <si>
    <t>Otros agregados al resultado tributario por deudores comericales</t>
  </si>
  <si>
    <t>5.01.03.99</t>
  </si>
  <si>
    <t>Otras deducciones al resultado tributario por deudores incobrables</t>
  </si>
  <si>
    <t>5.01.04.00</t>
  </si>
  <si>
    <t>Por Activo realizable (inventarios) y Activos Biológicos</t>
  </si>
  <si>
    <t>5.01.04.01</t>
  </si>
  <si>
    <t>Corr.mon. de los bienes físicos del activo realizable (inventarios)  Art. 41 inciso 1 N°3 LIR</t>
  </si>
  <si>
    <t>5.01.04.02</t>
  </si>
  <si>
    <t>Ajuste por  Valor Neto Realización</t>
  </si>
  <si>
    <t>5.01.04.03</t>
  </si>
  <si>
    <t>Ajuste por Provision Obsolescencia</t>
  </si>
  <si>
    <t>5.01.04.04</t>
  </si>
  <si>
    <t xml:space="preserve">Ajuste por concepto de acortamiento </t>
  </si>
  <si>
    <t>5.01.04.09</t>
  </si>
  <si>
    <t>Ajuste por Costo Financiero activado (Intereses activados en inventario)</t>
  </si>
  <si>
    <t>5.01.04.05</t>
  </si>
  <si>
    <t>Ajuste por CIF activados financieramente</t>
  </si>
  <si>
    <t>5.01.04.06</t>
  </si>
  <si>
    <t>Costo de Ventas según registros contables</t>
  </si>
  <si>
    <t>5.01.04.07</t>
  </si>
  <si>
    <t>Costo directo de bienes y servicios Art.30 LIR</t>
  </si>
  <si>
    <t>5.01.04.08</t>
  </si>
  <si>
    <t>Ajuste Valor Mercado activos Biológicos</t>
  </si>
  <si>
    <t>5.01.04.98</t>
  </si>
  <si>
    <t>Otros agregados al resultado tributario por inventarios</t>
  </si>
  <si>
    <t>5.01.04.99</t>
  </si>
  <si>
    <t>Otras deducciones al resultado tributario por inventarios</t>
  </si>
  <si>
    <t>5.01.05.00</t>
  </si>
  <si>
    <t>Por Propiedad Planta y Equipo , Propiedades de Inversion  y Activos disponibles para la Venta  (excluye a Bienes entregados en Leasing)</t>
  </si>
  <si>
    <t>5.01.05.01</t>
  </si>
  <si>
    <t>Corr.mon. de los bienes físicos del activo inmovilizado. Art. 41 inciso 1 N°2</t>
  </si>
  <si>
    <t>5.01.05.02</t>
  </si>
  <si>
    <t xml:space="preserve">Deterioro (Impairtment) propiedad planta y equipo según registros contables  </t>
  </si>
  <si>
    <t>5.01.05.03</t>
  </si>
  <si>
    <t xml:space="preserve">Pérdida por revalorización propiedad planta y equipo según registros contables </t>
  </si>
  <si>
    <t>5.01.05.04</t>
  </si>
  <si>
    <t xml:space="preserve">Castigo Financiero propiedad planta y equipo  según registros contables  </t>
  </si>
  <si>
    <t>5.01.05.05</t>
  </si>
  <si>
    <t xml:space="preserve">Depreciación Financiera según registros contables  </t>
  </si>
  <si>
    <t>5.01.05.06</t>
  </si>
  <si>
    <t>Depreciación Normal bienes físicos del activo inmovilizado Art.31 Inciso 4 N°5</t>
  </si>
  <si>
    <t>5.01.05.07</t>
  </si>
  <si>
    <t>Depreciación Acelerada bienes físicos del activo inmovilizado Art.31 Inciso 4 N°5</t>
  </si>
  <si>
    <t>5.01.05.08</t>
  </si>
  <si>
    <t>Ajuste por Costo Financiero activado (Intereses activados PPE)</t>
  </si>
  <si>
    <t>5.01.05.09</t>
  </si>
  <si>
    <t xml:space="preserve">Utilidad por revalorización propiedad planta y equipo según registros contables </t>
  </si>
  <si>
    <t>5.01.05.10</t>
  </si>
  <si>
    <t>Ajuste Valor Mercado Propiedades de Inversión</t>
  </si>
  <si>
    <t>5.01.05.11</t>
  </si>
  <si>
    <t>Ajuste Valor Mercado Activos mantenidos para la venta</t>
  </si>
  <si>
    <t>5.01.05.12</t>
  </si>
  <si>
    <t>Ajuste Valor Mercado Activos provenientes de Intercambios de activos</t>
  </si>
  <si>
    <t>5.01.05.13</t>
  </si>
  <si>
    <t>Provisión bienes recibidos en pago, remate judicial o de aquellos disponibles para la venta</t>
  </si>
  <si>
    <t>5.01.05.14</t>
  </si>
  <si>
    <t>Resultado por Enajenacion de propiedad planta y equipo, Propiedades de Inversion y Activos disponibles para la venta según registros contables</t>
  </si>
  <si>
    <t>5.01.05.15</t>
  </si>
  <si>
    <t>Resultado por Enajenacion de  bienes físicos del activo inmovilizado (valor tributario)</t>
  </si>
  <si>
    <t>5.01.05.16</t>
  </si>
  <si>
    <t>Castigo Tributario de los bienes físicos del activo inmovilizado</t>
  </si>
  <si>
    <t>5.01.05.17</t>
  </si>
  <si>
    <t>Ajuste por Remodelaciones Bienes Propios</t>
  </si>
  <si>
    <t>5.01.05.18</t>
  </si>
  <si>
    <t>Ajuste por Remodelaciones Bienes de Terceros</t>
  </si>
  <si>
    <t>5.01.05.20</t>
  </si>
  <si>
    <t>Dep.Acel.bienes físicos del activo inmovilizado Art.31 Inciso 4 N°5 Bis (1/10 Depreciacion)</t>
  </si>
  <si>
    <t>5.01.05.21</t>
  </si>
  <si>
    <t>Dep.Acel. 50% activo inmovilizado utilizado en el ejercicio (art. 21° transitorio Ley N° 21.210)</t>
  </si>
  <si>
    <t>5.01.05.22</t>
  </si>
  <si>
    <t>Dep.Acel. 100% activo inmovilizado adquirido en el ejercicio (art. 22° transitorio Ley N° 21.210)</t>
  </si>
  <si>
    <t>5.01.05.23</t>
  </si>
  <si>
    <t>Dep.Acel. 100%  N°3 del Art.3 de la Ley 21.256 (Acuerdo de reactivación) (art. 22° Bis transitorio Ley N° 21.210)</t>
  </si>
  <si>
    <t>5.01.05.96</t>
  </si>
  <si>
    <t>Otros agregados o deducciones por Propiedades de Inversión</t>
  </si>
  <si>
    <t>5.01.05.97</t>
  </si>
  <si>
    <t>Otros agregados o deducciones por activos mantenidos para la venta</t>
  </si>
  <si>
    <t>5.01.05.98</t>
  </si>
  <si>
    <t>Otros agregados al resultado tributario por activo fijo</t>
  </si>
  <si>
    <t>5.01.05.99</t>
  </si>
  <si>
    <t>Otras deducciones al resultado tributario por activo fijo</t>
  </si>
  <si>
    <t>5.01.06.00</t>
  </si>
  <si>
    <t xml:space="preserve">Activos contratados por leasing </t>
  </si>
  <si>
    <t>5.01.06.01</t>
  </si>
  <si>
    <t>Depreciación de activos en leasing</t>
  </si>
  <si>
    <t>5.01.06.02</t>
  </si>
  <si>
    <t xml:space="preserve">Intereses pagados por Leasing </t>
  </si>
  <si>
    <t>5.01.06.03</t>
  </si>
  <si>
    <t>Reajustes por  Obligaciones por Leasing</t>
  </si>
  <si>
    <t>5.01.06.04</t>
  </si>
  <si>
    <t>Reajustes por Intereses Diferidos por Leasing</t>
  </si>
  <si>
    <t>5.01.06.05</t>
  </si>
  <si>
    <t xml:space="preserve">Cuotas pagadas por Leasing </t>
  </si>
  <si>
    <t>5.01.06.06</t>
  </si>
  <si>
    <t xml:space="preserve">Cuotas anticipadas por Leasing </t>
  </si>
  <si>
    <t>5.01.06.98</t>
  </si>
  <si>
    <t>Otros agregados al resultado tributario por  activos en leasing</t>
  </si>
  <si>
    <t>5.01.06.99</t>
  </si>
  <si>
    <t>Otras deducciones al resultado tributario por activos en leasing</t>
  </si>
  <si>
    <t>5.01.07.00</t>
  </si>
  <si>
    <t>Activos intangibles distintos de la plusvalía (neto)</t>
  </si>
  <si>
    <t>5.01.07.01</t>
  </si>
  <si>
    <t>Corr.mon. de los derechos de llave, pertenencias, concesiones mineras y otros. Art. 41 inciso 1 N°6</t>
  </si>
  <si>
    <t>5.01.07.02</t>
  </si>
  <si>
    <t>Corr.mon. de los gastos de organización y puesta en marcha, Art. 41 inciso 1 N°7</t>
  </si>
  <si>
    <t>5.01.07.03</t>
  </si>
  <si>
    <t>Corr.mon. de los costos y gastos diferidos. Art. 41 inciso 1 N°7</t>
  </si>
  <si>
    <t>5.01.07.04</t>
  </si>
  <si>
    <t>Amortización de derechos de llave, pertenencias y concesiones mineras (Valor Financiero)</t>
  </si>
  <si>
    <t>5.01.07.05</t>
  </si>
  <si>
    <t>Amortización gastos de organización y puesta en marcha</t>
  </si>
  <si>
    <t>5.01.07.06</t>
  </si>
  <si>
    <t>Amortizacion de los costos y gastos diferidos. Art. 41 inciso 1 N°7</t>
  </si>
  <si>
    <t>5.01.07.98</t>
  </si>
  <si>
    <t>Otros agregados al resultado tributario por intangibles</t>
  </si>
  <si>
    <t>5.01.07.99</t>
  </si>
  <si>
    <t>Otras deducciones al resultado tributario por intangibles</t>
  </si>
  <si>
    <t>5.01.08.00</t>
  </si>
  <si>
    <t>Por Inversiones en otras Entidades o Entidades Relacionadas</t>
  </si>
  <si>
    <t>5.01.08.01</t>
  </si>
  <si>
    <t>5.01.08.02</t>
  </si>
  <si>
    <t>5.01.08.03</t>
  </si>
  <si>
    <t>Corr.Mon.derechos Moneda Extranjera art.41 N°4  (agencias)</t>
  </si>
  <si>
    <t>5.01.08.04</t>
  </si>
  <si>
    <t>Resultado devengado en sociedades situadas en Chile</t>
  </si>
  <si>
    <t>5.01.08.05</t>
  </si>
  <si>
    <t>Resultado devengado en sociedades situadas en el Exterior</t>
  </si>
  <si>
    <t>5.01.08.06</t>
  </si>
  <si>
    <t>Resultado devengado en Agencia u otro establecimiento permanente</t>
  </si>
  <si>
    <t>5.01.08.07</t>
  </si>
  <si>
    <t xml:space="preserve">Resultado por Enajenación Inversiones en otras Entidades según registros contables </t>
  </si>
  <si>
    <t>5.01.08.08</t>
  </si>
  <si>
    <t>Resultado por Enajenación Inversiones en otras Entidades a Valor Tributario</t>
  </si>
  <si>
    <t>5.01.08.09</t>
  </si>
  <si>
    <t>Dividendos o Retiros percibidos entidades relacionadas en Chile</t>
  </si>
  <si>
    <t>5.01.08.10</t>
  </si>
  <si>
    <t>Dividendos percibidos desde el exterior</t>
  </si>
  <si>
    <t>Crédito total disponible</t>
  </si>
  <si>
    <t>5.01.08.12</t>
  </si>
  <si>
    <t>Gastos directos rentas extranjeras</t>
  </si>
  <si>
    <t>5.01.08.13</t>
  </si>
  <si>
    <t>Gastos comunes  rentas extranjeras</t>
  </si>
  <si>
    <t>5.01.08.98</t>
  </si>
  <si>
    <t>Otros agregados al resultado tributario por Inversiones en otras Entidades</t>
  </si>
  <si>
    <t>5.01.08.99</t>
  </si>
  <si>
    <t>Otras deducciones al resultado tributario por inversiones en otras Entidades</t>
  </si>
  <si>
    <t>5.01.09.00</t>
  </si>
  <si>
    <t>Por Plusvalía (Goodwill) y Minusvalia (Badwill)</t>
  </si>
  <si>
    <t>5.01.09.01</t>
  </si>
  <si>
    <t>Deteriorio por Goodwill</t>
  </si>
  <si>
    <t>5.01.09.02</t>
  </si>
  <si>
    <t xml:space="preserve">Corr.Mon.Goodwill en relacion Art.31 inciso 4 N°9 </t>
  </si>
  <si>
    <t>5.01.09.03</t>
  </si>
  <si>
    <t>Amortización menor valor tributario en fusión Art.31 inciso 4 N°9</t>
  </si>
  <si>
    <t>5.01.09.04</t>
  </si>
  <si>
    <t>Corr.Mon.Mayor valor tributario en fusión Art.15</t>
  </si>
  <si>
    <t>5.01.09.05</t>
  </si>
  <si>
    <t>Ingreso por mayor valor tributario en fusión Art.15</t>
  </si>
  <si>
    <t>5.01.09.06</t>
  </si>
  <si>
    <t>Corr.Mon. Intangible por Goodwill en relacion Art.31 inciso 4 N°9 (Ley 20.780)</t>
  </si>
  <si>
    <t>5.01.09.98</t>
  </si>
  <si>
    <t>Otros agregados al resultado tributario por Goodwil y/o Badwill</t>
  </si>
  <si>
    <t>5.01.09.99</t>
  </si>
  <si>
    <t>Otras deducciones al resultado tributario por Goodwil y/o Badwill</t>
  </si>
  <si>
    <t>5.01.10.00</t>
  </si>
  <si>
    <t>Por Bienes entregados en Leasing</t>
  </si>
  <si>
    <t>5.01.10.01</t>
  </si>
  <si>
    <t>Corr.mon. de los bienes físicos del activo inmovilizado (entregados en leasing) . Art. 41 inciso 1 N°2</t>
  </si>
  <si>
    <t>5.01.10.02</t>
  </si>
  <si>
    <t>Ingreso por cuotas percibidas por leasing</t>
  </si>
  <si>
    <t>5.01.10.03</t>
  </si>
  <si>
    <t>Ingreso por cuotas devengadas por leasing</t>
  </si>
  <si>
    <t>5.01.10.04</t>
  </si>
  <si>
    <t>Ingreso por Intereses por leasing según registros contables</t>
  </si>
  <si>
    <t>5.01.10.05</t>
  </si>
  <si>
    <t xml:space="preserve">Ingreso Tributario por Seguros Devengados por Bienes Siniestrados </t>
  </si>
  <si>
    <t>5.01.10.06</t>
  </si>
  <si>
    <t>Resultado por reajustes por leasing según registros contables</t>
  </si>
  <si>
    <t>5.01.10.07</t>
  </si>
  <si>
    <t>Estimación deudores incobrables por leasing</t>
  </si>
  <si>
    <t>5.01.10.08</t>
  </si>
  <si>
    <t>Depreciación Normal bienes entregados en  leasing (valor tributario)</t>
  </si>
  <si>
    <t>5.01.10.09</t>
  </si>
  <si>
    <t>Depreciación Acelerada bienes entregados en  leasing (valor tributario)</t>
  </si>
  <si>
    <t>5.01.10.10</t>
  </si>
  <si>
    <t>Otros ingresos por leasing según registros contables</t>
  </si>
  <si>
    <t>5.01.10.11</t>
  </si>
  <si>
    <t>Costo Venta Bienes entregados en Leasing  (al término del contrato)</t>
  </si>
  <si>
    <t>5.01.10.12</t>
  </si>
  <si>
    <t>Costo Venta Bienes entregados en Leasing (anticipado o cedido)</t>
  </si>
  <si>
    <t>5.01.10.13</t>
  </si>
  <si>
    <t>Gastos relacionados con Leasing, (Notariales, seguros, entre otros)</t>
  </si>
  <si>
    <t>5.01.10.98</t>
  </si>
  <si>
    <t>Otros agregados al resultado tributario por  bienes entregados  en leasing</t>
  </si>
  <si>
    <t>5.01.10.99</t>
  </si>
  <si>
    <t>Otras deducciones al resultado tributario por activos bienes entregados en leasing</t>
  </si>
  <si>
    <t>5.01.11.00</t>
  </si>
  <si>
    <t>Por Otros pasivos financieros, corrientes</t>
  </si>
  <si>
    <t>5.01.11.01</t>
  </si>
  <si>
    <t>Ajuste tasa efectiva en obligaciones con bancos</t>
  </si>
  <si>
    <t>5.01.11.02</t>
  </si>
  <si>
    <t>Gastos diferidos por obligaciones con bancos</t>
  </si>
  <si>
    <t>5.01.11.03</t>
  </si>
  <si>
    <t>Menor Valor en Colocacion de Bonos</t>
  </si>
  <si>
    <t>5.01.11.04</t>
  </si>
  <si>
    <t>Corrección monetaria Menor Valor Bonos</t>
  </si>
  <si>
    <t>5.01.11.05</t>
  </si>
  <si>
    <t>Amortizacion Menor Valor Bonos</t>
  </si>
  <si>
    <t>5.01.11.06</t>
  </si>
  <si>
    <t>Gastos diferidos por Colocacion de Bonos</t>
  </si>
  <si>
    <t>5.01.11.07</t>
  </si>
  <si>
    <t>Corrección monetaria Gastos Diferidos por Colocacion de Bonos</t>
  </si>
  <si>
    <t>5.01.11.08</t>
  </si>
  <si>
    <t>Amortización Gastos diferidos por Colocacion de Bonos</t>
  </si>
  <si>
    <t>5.01.11.09</t>
  </si>
  <si>
    <t xml:space="preserve">Ajuste a Valor de Mercado por Bonos emitidos </t>
  </si>
  <si>
    <t>5.01.11.10</t>
  </si>
  <si>
    <t>Intereses Financieros por Bonos Emitidos</t>
  </si>
  <si>
    <t>5.01.11.11</t>
  </si>
  <si>
    <t>Intereses a Valor Tributario por Bonos Emitidos</t>
  </si>
  <si>
    <t>5.01.11.98</t>
  </si>
  <si>
    <t>Otros agregados al resultado tributario por bonos emitidos</t>
  </si>
  <si>
    <t>5.01.11.99</t>
  </si>
  <si>
    <t>Otros deducciones al resultado tributario por bonos emitidos</t>
  </si>
  <si>
    <t>5.01.12.00</t>
  </si>
  <si>
    <t>Por Impuesto a la Renta e Impuesto Diferido</t>
  </si>
  <si>
    <t>5.01.12.01</t>
  </si>
  <si>
    <t>Provisión Impuesto Renta 1a Categoría</t>
  </si>
  <si>
    <t>5.01.12.02</t>
  </si>
  <si>
    <r>
      <t>Provisión Impuesto Único Artículo 21 (</t>
    </r>
    <r>
      <rPr>
        <b/>
        <sz val="10"/>
        <rFont val="Arial"/>
        <family val="2"/>
      </rPr>
      <t>40</t>
    </r>
    <r>
      <rPr>
        <sz val="10"/>
        <rFont val="Arial"/>
        <family val="2"/>
      </rPr>
      <t>%)</t>
    </r>
  </si>
  <si>
    <t>5.01.12.03</t>
  </si>
  <si>
    <t>Provisión Impuesto a la actividad Minera</t>
  </si>
  <si>
    <t>5.01.12.04</t>
  </si>
  <si>
    <t>Provisión Impuesto Único Empresa Estatal</t>
  </si>
  <si>
    <t>5.01.12.06</t>
  </si>
  <si>
    <t xml:space="preserve">Impuesto Diferido </t>
  </si>
  <si>
    <t>5.01.12.99</t>
  </si>
  <si>
    <t>Otras Provisiones por Impuestos</t>
  </si>
  <si>
    <t>5.01.13.00</t>
  </si>
  <si>
    <t>Por Provisiones Corrientes y No Corrientes por Beneficios a los Empleados</t>
  </si>
  <si>
    <t>5.01.13.01</t>
  </si>
  <si>
    <t xml:space="preserve">Provisión Vacaciones </t>
  </si>
  <si>
    <t>5.01.13.02</t>
  </si>
  <si>
    <t>Provisión Gratificaciones</t>
  </si>
  <si>
    <t>5.01.13.03</t>
  </si>
  <si>
    <t>Indemnización años de Servicios  Valor Financiero</t>
  </si>
  <si>
    <t>5.01.13.04</t>
  </si>
  <si>
    <t>Indemnización años de Servicios  Valor Tributario</t>
  </si>
  <si>
    <t>5.01.13.05</t>
  </si>
  <si>
    <t>Provisión por Bonos Metas, Bono Eficiencia, (entre otros)</t>
  </si>
  <si>
    <t>5.01.13.06</t>
  </si>
  <si>
    <t>Pagos Basados en Acciones</t>
  </si>
  <si>
    <t>5.01.13.98</t>
  </si>
  <si>
    <t>Provisiones por Beneficios Definidos</t>
  </si>
  <si>
    <t>5.01.13.99</t>
  </si>
  <si>
    <t>Otras Provisiones por Beneficios Empleados</t>
  </si>
  <si>
    <t>5.01.14.00</t>
  </si>
  <si>
    <t>Por Otras Provisiones</t>
  </si>
  <si>
    <t>5.01.14.01</t>
  </si>
  <si>
    <t>Provisión Gastos Por Pagar</t>
  </si>
  <si>
    <t>5.01.14.02</t>
  </si>
  <si>
    <t xml:space="preserve">Provisión Otras Eventualidades </t>
  </si>
  <si>
    <t>5.01.14.03</t>
  </si>
  <si>
    <t>Provisión Juicio Laboral</t>
  </si>
  <si>
    <t>5.01.14.04</t>
  </si>
  <si>
    <t>Provisiones Adicionales</t>
  </si>
  <si>
    <t>5.01.14.05</t>
  </si>
  <si>
    <t>Provisiones Riesgo Pais</t>
  </si>
  <si>
    <t>5.01.14.99</t>
  </si>
  <si>
    <t>5.01.15.00</t>
  </si>
  <si>
    <t>Por Capital Propio</t>
  </si>
  <si>
    <t>Corr.mon. del capital propio, Art. 41 inciso 1 N°1</t>
  </si>
  <si>
    <t>5.01.15.02</t>
  </si>
  <si>
    <t>Corr.mon. del capital propio, aumentos Art. 41 inciso 1 N°1</t>
  </si>
  <si>
    <t>Corr.mon. del capital propio, disminuciones de capital. Art. 41 inciso 1 N°1</t>
  </si>
  <si>
    <t>5.01.20.00</t>
  </si>
  <si>
    <t>Por Contratos de construccion</t>
  </si>
  <si>
    <t>5.01.20.01</t>
  </si>
  <si>
    <t>Resultado por contrato de Promesa de Venta según registro contable</t>
  </si>
  <si>
    <t>5.01.20.02</t>
  </si>
  <si>
    <t>Resultado por contrato de Suma Alzada según registro contable</t>
  </si>
  <si>
    <t>5.01.20.03</t>
  </si>
  <si>
    <t>Resultado por contrato de Obra de uso público según registro contable</t>
  </si>
  <si>
    <t>5.01.20.04</t>
  </si>
  <si>
    <t>Resultado por contrato de Promesa de Venta a valor tributario</t>
  </si>
  <si>
    <t>5.01.20.05</t>
  </si>
  <si>
    <t>Resultado por contrato de Suma Alzada a valor tributario</t>
  </si>
  <si>
    <t>5.01.20.06</t>
  </si>
  <si>
    <t>Resultado por contrato de Obra de uso público a valor tributario</t>
  </si>
  <si>
    <t>5.01.20.98</t>
  </si>
  <si>
    <t>Otros agregados al resultado tributario por contratos de construcción</t>
  </si>
  <si>
    <t>5.01.20.99</t>
  </si>
  <si>
    <t>Otras deducciones al resultado tributario por contrato de construcción</t>
  </si>
  <si>
    <t>5.03.01.00</t>
  </si>
  <si>
    <t>Por Ingreso NO renta (INR)</t>
  </si>
  <si>
    <t>5.03.01.01</t>
  </si>
  <si>
    <t xml:space="preserve">INR por enajenación de instrumentos de deuda de oferta pública Art.104 LIR </t>
  </si>
  <si>
    <t>5.03.01.02</t>
  </si>
  <si>
    <t xml:space="preserve">INR por enajenación de valores Art.107 LIR </t>
  </si>
  <si>
    <t>5.03.01.03</t>
  </si>
  <si>
    <t>INR provenientes de la explotación de bienes raices no agricolas D.F.L.N°2</t>
  </si>
  <si>
    <t>5.03.01.04</t>
  </si>
  <si>
    <t xml:space="preserve">Costo Directo INR por enajenación de instrumentos de deuda de oferta pública Art.104 LIR </t>
  </si>
  <si>
    <t>5.03.01.05</t>
  </si>
  <si>
    <t xml:space="preserve">Costo Directo INR por enajenación de valores Art.107 LIR </t>
  </si>
  <si>
    <t>5.03.01.06</t>
  </si>
  <si>
    <t>Costo Directo INR provenientes de la explotación de bienes raices no agricolas D.F.L.N°2</t>
  </si>
  <si>
    <t>5.03.01.07</t>
  </si>
  <si>
    <t xml:space="preserve">Gastos Utilización Común INR por enajenación de instrumentos de deuda de oferta pública Art.104 LIR </t>
  </si>
  <si>
    <t>5.03.01.08</t>
  </si>
  <si>
    <t xml:space="preserve">Gastos Utilización Común INR por enajenación de valores Art.107 LIR </t>
  </si>
  <si>
    <t>5.03.01.09</t>
  </si>
  <si>
    <t>Gastos Utilización Común INR provenientes de la explotación de bienes raices no agricolas D.F.L.N°2</t>
  </si>
  <si>
    <t>5.03.01.10</t>
  </si>
  <si>
    <t>Otros INR</t>
  </si>
  <si>
    <t>5.03.01.98</t>
  </si>
  <si>
    <t>Otros Costos Directos INR</t>
  </si>
  <si>
    <t>5.03.01.99</t>
  </si>
  <si>
    <t>Otros Gastos Utilización Común</t>
  </si>
  <si>
    <t>5.03.02.00</t>
  </si>
  <si>
    <t>Por Rentas exentas de primera categoría (REX)</t>
  </si>
  <si>
    <t>5.03.02.01</t>
  </si>
  <si>
    <t>Rentas o ingresos exentos de primera categoría</t>
  </si>
  <si>
    <t>5.03.02.02</t>
  </si>
  <si>
    <t>Costos directos asociados a REX de primera categoría</t>
  </si>
  <si>
    <t>5.03.02.03</t>
  </si>
  <si>
    <t>Gastos Utilización Común a REX</t>
  </si>
  <si>
    <t>5.03.04.00</t>
  </si>
  <si>
    <t>Por Otros Ajustes tributarios</t>
  </si>
  <si>
    <t>5.03.04.01</t>
  </si>
  <si>
    <t>Corr.mon. de los créditos o derechos en moneda extranjera o reajustables. Art. 41 inciso 1 N°4</t>
  </si>
  <si>
    <t>5.03.04.02</t>
  </si>
  <si>
    <t>Corr.mon. de monedas extranjeras y de oro. Art. 41 inciso 1 N°5</t>
  </si>
  <si>
    <t>5.03.04.03</t>
  </si>
  <si>
    <t>Corr.mon. de deudas u obligaciones en moneda extranjera o reajustables. Art. 41 inciso 1 N°10</t>
  </si>
  <si>
    <t>5.03.04.04</t>
  </si>
  <si>
    <t>Corrección monetaria cierre de faenas mineras (Ley 20.551)</t>
  </si>
  <si>
    <t>5.03.04.05</t>
  </si>
  <si>
    <t>Ingresos de explotación Artículos 15 / 29 LIR  ( Valor Tributario)</t>
  </si>
  <si>
    <t>5.03.04.06</t>
  </si>
  <si>
    <t xml:space="preserve">PPUA  </t>
  </si>
  <si>
    <t>5.03.04.11</t>
  </si>
  <si>
    <t xml:space="preserve">Interés Devengado Art. 20 N° 2 (Instrumentos Art.104 Lir) </t>
  </si>
  <si>
    <t>5.03.04.20</t>
  </si>
  <si>
    <t>Deduccion 50% RLI (14 E)</t>
  </si>
  <si>
    <t>5.03.04.22</t>
  </si>
  <si>
    <t>Deducción Gasto por pago Impuesto Voluntario Art. 14 letra A) N° 6</t>
  </si>
  <si>
    <t>5.03.04.30</t>
  </si>
  <si>
    <t>Ingreso Diferido por cambio de régimen</t>
  </si>
  <si>
    <t>5.03.04.31</t>
  </si>
  <si>
    <t>Ingresos Devengados por cambio de régimen</t>
  </si>
  <si>
    <t>5.03.04.32</t>
  </si>
  <si>
    <t>5.03.04.40</t>
  </si>
  <si>
    <t>Rentas Pasivas devengadas</t>
  </si>
  <si>
    <t>5.03.04.98</t>
  </si>
  <si>
    <t xml:space="preserve">Otros agregados al resultado tributario </t>
  </si>
  <si>
    <t>5.03.04.99</t>
  </si>
  <si>
    <t xml:space="preserve">Otras deducciones al resultado tributario </t>
  </si>
  <si>
    <t>5.03.05.00</t>
  </si>
  <si>
    <t>Por Gastos rechazados</t>
  </si>
  <si>
    <t>5.03.05.01</t>
  </si>
  <si>
    <t>Contribuciones Bienes Raices</t>
  </si>
  <si>
    <t>5.03.05.02</t>
  </si>
  <si>
    <t>Gastos No Documentados</t>
  </si>
  <si>
    <t>5.03.05.04</t>
  </si>
  <si>
    <t>Gastos por Donaciones Rechazadas</t>
  </si>
  <si>
    <t>5.03.05.05</t>
  </si>
  <si>
    <t>Gastos por Automóvil, Station Wagon y Similares</t>
  </si>
  <si>
    <t>5.03.05.10</t>
  </si>
  <si>
    <t xml:space="preserve">Gastos rechazados no afectos a la tributación del art. 21 </t>
  </si>
  <si>
    <t>5.03.05.13</t>
  </si>
  <si>
    <t>Gasto por Intereses, Reajustes y Multas Fiscales</t>
  </si>
  <si>
    <t>5.03.05.14</t>
  </si>
  <si>
    <t>Gasto por 'Impuesto de Primera Categoría</t>
  </si>
  <si>
    <t>5.03.05.15</t>
  </si>
  <si>
    <t>Gasto por 'Reajustes Art.72 LIR</t>
  </si>
  <si>
    <t>5.03.05.16</t>
  </si>
  <si>
    <t>Gasto por Impuesto Unico Art.21</t>
  </si>
  <si>
    <t>5.03.05.17</t>
  </si>
  <si>
    <t>Gasto por Diferencia de créditos por IDPC otorgados en forma indebida o en exceso, (art. 14 letra A) N° 7 LIR)</t>
  </si>
  <si>
    <t>5.03.05.18</t>
  </si>
  <si>
    <t>Gasto por Diferencia de IA por crédito indebido por IDPC (art. 74 N° 4 inc. 3° )</t>
  </si>
  <si>
    <t>5.03.05.19</t>
  </si>
  <si>
    <t>Pago voluntario a título de IDPC, según art. 14 letra A) N° 6 LIR</t>
  </si>
  <si>
    <t>5.03.05.20</t>
  </si>
  <si>
    <t>Gasto por ISFUT (art.25° Transitorio Ley N°21.210)</t>
  </si>
  <si>
    <t>5.03.05.21</t>
  </si>
  <si>
    <t>Gasto por IDPC por rectificación del CPT  (art.32° Transitorio Ley 21.210)</t>
  </si>
  <si>
    <t>5.03.05.22</t>
  </si>
  <si>
    <t>Gasto por Impuesto Único y Sustitutivo de 20% sobre diferencia del CPT  (art.32° Transitorio Ley 21.210)</t>
  </si>
  <si>
    <t>5.03.05.23</t>
  </si>
  <si>
    <t>Gasto por Impuesto Unico 25% Retiros Desproporcionados (art.39° Transitorio Ley 21.210)</t>
  </si>
  <si>
    <t>5.03.05.98</t>
  </si>
  <si>
    <t>Otras partidas  que disminuyeron la renta líquida declarada clasificados en la letra b) a g) del N°1 art 33 LIR</t>
  </si>
  <si>
    <t>5.03.05.99</t>
  </si>
  <si>
    <t>Otras Partidas segun inciso 2° art 21 LIR</t>
  </si>
  <si>
    <t>5.04.01.00</t>
  </si>
  <si>
    <t>Por Pérdida Tributaria de Arrastre</t>
  </si>
  <si>
    <t>5.04.01.01</t>
  </si>
  <si>
    <t>5.04.01.10</t>
  </si>
  <si>
    <t>Imputaciones a la pérdida Tributaria del ejercicio</t>
  </si>
  <si>
    <t>5.04.01.11</t>
  </si>
  <si>
    <t>Dividendos o retiros percibidos afectos a IGC, que absorben la pérdida tributaria.</t>
  </si>
  <si>
    <t>5.04.01.12</t>
  </si>
  <si>
    <t>Incremento de los dividendos o retiros percibidos afectos a IGC, que absorben la pérdida tributaria</t>
  </si>
  <si>
    <t>Socia Srta. Arriagada contribuyente del IGC</t>
  </si>
  <si>
    <t>Total capital aportado</t>
  </si>
  <si>
    <t>% Participación</t>
  </si>
  <si>
    <t>El Crédito por IDPC ha sido certificado con derecho a devolución y NO sujeto a restitución, a valor histórico, por un monto de</t>
  </si>
  <si>
    <t>21.03; Multas fiscales, pagadas</t>
  </si>
  <si>
    <t>25.04; Pago que no se ha acreditado la naturaleza ni efectividad del desembolso</t>
  </si>
  <si>
    <t>30.04; Impuesto renta AT. 2025 pagado (cubierto con PPM)</t>
  </si>
  <si>
    <t>15.12; Colegiatura del hijo de la socia Srta. Arriagada</t>
  </si>
  <si>
    <t>La sociedad ha efectuado los siguientes pagos durante el ejercicio, los cuales han sido registrados en las cuentas de gasto:</t>
  </si>
  <si>
    <t>En abril de 2025 se cumplieron 365 días de vencida e impaga la factura N°15, castigada financieramente en el año 2024 y cuyo valor tributario al 31.12.2025 es de</t>
  </si>
  <si>
    <t>Totales</t>
  </si>
  <si>
    <t>% Corrección monetaria</t>
  </si>
  <si>
    <t>Anual</t>
  </si>
  <si>
    <t>Marzo - Diciembre</t>
  </si>
  <si>
    <t>Abril - Diciembre</t>
  </si>
  <si>
    <t>(=) Sub total Base Imponible</t>
  </si>
  <si>
    <t>(-) Retiros del ejercicio, actualizados</t>
  </si>
  <si>
    <t>(-) Intereses y multas fiscales, actualizados</t>
  </si>
  <si>
    <t>(-) Pago IDPC AT 2025, actualizado</t>
  </si>
  <si>
    <t>(=) RLI Invertida</t>
  </si>
  <si>
    <t>Código R12        F-22</t>
  </si>
  <si>
    <t>Nombre del ajuste</t>
  </si>
  <si>
    <t>Información a presentar DJ 1926</t>
  </si>
  <si>
    <t>25.04; Pago que no se ha acreditado la naturaleza ni efectividad, actualizados</t>
  </si>
  <si>
    <t xml:space="preserve">30.04; Pago IDPC AT 2025, actualizados </t>
  </si>
  <si>
    <t>Crédito total disponible por Impuestos pagados en el exterior</t>
  </si>
  <si>
    <t>28.03; Donación Club Rayuela, reajustada</t>
  </si>
  <si>
    <t>Corrección monetaria disminución de capital (retiros socios)</t>
  </si>
  <si>
    <t>Factura castigada tributariamente 2025</t>
  </si>
  <si>
    <t xml:space="preserve">Corrección monetaria CPT inicial </t>
  </si>
  <si>
    <t>28.03; Donación Club Rayuela</t>
  </si>
  <si>
    <t>En el resultado financiero no se ha reconocido efecto alguno por la corrección monetaria del artículo 41 de LIR</t>
  </si>
  <si>
    <t>Código Anexo N° 1</t>
  </si>
  <si>
    <t>Agregados:</t>
  </si>
  <si>
    <t>Resultado financiero según balance al 31.12.2025</t>
  </si>
  <si>
    <t>Remanente anterior</t>
  </si>
  <si>
    <t>Remanente reajustado</t>
  </si>
  <si>
    <t>(+) Rentas afectas del ejercicio</t>
  </si>
  <si>
    <t>(+) Crédito por IDPC sobre RLI</t>
  </si>
  <si>
    <t>(+) Crédito por IDPC sobre dividendo percibido</t>
  </si>
  <si>
    <t>(-) Reverso registro RAI ejercicio anterior</t>
  </si>
  <si>
    <t>Subtotal antes de imputaciones</t>
  </si>
  <si>
    <r>
      <t xml:space="preserve">(+) CPT al 31.12.2025 registrado en el </t>
    </r>
    <r>
      <rPr>
        <b/>
        <sz val="10"/>
        <rFont val="Arial"/>
        <family val="2"/>
      </rPr>
      <t>código 645</t>
    </r>
    <r>
      <rPr>
        <sz val="10"/>
        <rFont val="Arial"/>
        <family val="2"/>
      </rPr>
      <t xml:space="preserve"> del </t>
    </r>
    <r>
      <rPr>
        <b/>
        <sz val="10"/>
        <rFont val="Arial"/>
        <family val="2"/>
      </rPr>
      <t>recuadro N° 14</t>
    </r>
    <r>
      <rPr>
        <sz val="10"/>
        <rFont val="Arial"/>
        <family val="2"/>
      </rPr>
      <t xml:space="preserve"> del F-22 AT 2026</t>
    </r>
  </si>
  <si>
    <t>Remanentes ejercicio siguiente</t>
  </si>
  <si>
    <t>20.03, Retiro socio Sociedad  NSD Ltda.(1)</t>
  </si>
  <si>
    <t>13.04, Retiro socia Srta. Arriagada(2)</t>
  </si>
  <si>
    <t>20.03, Retiro socio Sociedad  NSD Ltda. (1)</t>
  </si>
  <si>
    <t>13.04, Retiro socia Srta. Arriagada (2)</t>
  </si>
  <si>
    <t>Determinación RAI al 31.12.2025</t>
  </si>
  <si>
    <r>
      <t>(+) Retiros del ejercicio, reajustados al</t>
    </r>
    <r>
      <rPr>
        <b/>
        <sz val="10"/>
        <rFont val="Arial"/>
        <family val="2"/>
      </rPr>
      <t xml:space="preserve"> 31.12.2025</t>
    </r>
  </si>
  <si>
    <t>Régimen tributario</t>
  </si>
  <si>
    <t>Crédito IPE contra IF del ejercicio</t>
  </si>
  <si>
    <t>Corrección monetaria CPT inicial</t>
  </si>
  <si>
    <r>
      <t xml:space="preserve">Capital propio tributario al 31.12.2024 informado en el </t>
    </r>
    <r>
      <rPr>
        <b/>
        <sz val="10"/>
        <color rgb="FF000000"/>
        <rFont val="Arial"/>
        <family val="2"/>
      </rPr>
      <t>código 645</t>
    </r>
    <r>
      <rPr>
        <sz val="10"/>
        <color indexed="8"/>
        <rFont val="Arial"/>
        <family val="2"/>
      </rPr>
      <t xml:space="preserve"> del </t>
    </r>
    <r>
      <rPr>
        <b/>
        <sz val="10"/>
        <color rgb="FF000000"/>
        <rFont val="Arial"/>
        <family val="2"/>
      </rPr>
      <t>recuadro N° 14</t>
    </r>
    <r>
      <rPr>
        <sz val="10"/>
        <color indexed="8"/>
        <rFont val="Arial"/>
        <family val="2"/>
      </rPr>
      <t xml:space="preserve"> F-22 AT 2025</t>
    </r>
  </si>
  <si>
    <t>RLI del ejercicio</t>
  </si>
  <si>
    <t>Registro Tributario de Rentas Empresariales al 31.12.2025</t>
  </si>
  <si>
    <t>Ajuste por incentivo al ahorro según art. 14 letra E) LIR</t>
  </si>
  <si>
    <t>Dividendos percibidos</t>
  </si>
  <si>
    <r>
      <t xml:space="preserve">Retiros del ejercicio, reajustados al </t>
    </r>
    <r>
      <rPr>
        <b/>
        <sz val="10"/>
        <color rgb="FF000000"/>
        <rFont val="Arial"/>
        <family val="2"/>
      </rPr>
      <t>31.12.2025</t>
    </r>
  </si>
  <si>
    <r>
      <t xml:space="preserve">Multas fiscales pagadas, reajustadas al </t>
    </r>
    <r>
      <rPr>
        <b/>
        <sz val="10"/>
        <color rgb="FF000000"/>
        <rFont val="Arial"/>
        <family val="2"/>
      </rPr>
      <t>31.12.2025</t>
    </r>
  </si>
  <si>
    <r>
      <t>Donación al Club de Rayuela pagado, reajustado al</t>
    </r>
    <r>
      <rPr>
        <b/>
        <sz val="10"/>
        <color rgb="FF000000"/>
        <rFont val="Arial"/>
        <family val="2"/>
      </rPr>
      <t xml:space="preserve"> 31.12.2025</t>
    </r>
  </si>
  <si>
    <r>
      <t xml:space="preserve">IDPC AT 2025 pagado, reajustado al </t>
    </r>
    <r>
      <rPr>
        <b/>
        <sz val="10"/>
        <color rgb="FF000000"/>
        <rFont val="Arial"/>
        <family val="2"/>
      </rPr>
      <t>31.12.2025</t>
    </r>
  </si>
  <si>
    <t>Retiros afectos socio N° 1</t>
  </si>
  <si>
    <t xml:space="preserve">  • Retiros afectos con crédito NO sujeto a restitución</t>
  </si>
  <si>
    <t xml:space="preserve">  •  Retiros afectos con crédito sujeto a restitución</t>
  </si>
  <si>
    <t xml:space="preserve">  •  Retiros afectos con crédito TEF</t>
  </si>
  <si>
    <t xml:space="preserve">  •  Retiros afectos sin crédito</t>
  </si>
  <si>
    <t>Retiros calificados como rentas con tributación cumplida</t>
  </si>
  <si>
    <t xml:space="preserve">  •  Imputados al RAP</t>
  </si>
  <si>
    <t xml:space="preserve">  •  Imputados al ISFUT</t>
  </si>
  <si>
    <t>Retiros exentos</t>
  </si>
  <si>
    <t>Retiros INR</t>
  </si>
  <si>
    <t>Total retiros socio N° 1, reajustados</t>
  </si>
  <si>
    <t>Retiros afectos socio N° 2</t>
  </si>
  <si>
    <t xml:space="preserve">  •  Retiros afectos con crédito NO sujeto a restitución</t>
  </si>
  <si>
    <t>Total retiros socio N° 2, reajustados</t>
  </si>
  <si>
    <t>Crédito por IDPC sujeto a restitución con devolución</t>
  </si>
  <si>
    <t>Crédito por IDPC sujeto a restitución sin devolución</t>
  </si>
  <si>
    <t>Crédito por IDPC no sujeto a restitución sin devolución</t>
  </si>
  <si>
    <t>Total créditos por IDPC socio N° 1, reajustados</t>
  </si>
  <si>
    <t>Crédito por IDPC con devolución tasa TEF</t>
  </si>
  <si>
    <t>Crédito por IDPC en carácter de voluntario</t>
  </si>
  <si>
    <t>Crédito IPE contra impuestos finales</t>
  </si>
  <si>
    <t>Total créditos por IDPC socio N° 2, reajustados</t>
  </si>
  <si>
    <t>ISFUT
Ley N° 20.780
Ley N° 20.899   ISIF Ley N° 21.681</t>
  </si>
  <si>
    <t>ISFUT
Ley N° 20.780
Ley N° 20.899         ISIF Ley N° 21.681</t>
  </si>
  <si>
    <t>Situación tributaria de los retiros y créditos del ejercicio</t>
  </si>
  <si>
    <t>Socio Sociedad NSD Ltda. contribuyente del IDPC sujeto al régimen Pro PYME general, del artículo 14 letra D)  N° 3  de la LIR</t>
  </si>
  <si>
    <t>Antecedentes para la determinación de la RLI de primera categoría de acuerdo a los artículos 29 al 33 de la LIR al 31.12.2025:</t>
  </si>
  <si>
    <t>En el resultado financiero se ha registrado como ingreso los dividendos percibidos afectos a IF, proveniente de la sociedad Maxito S.A., sujeta al régimen Pro PYME general del N° 3 de la letra D) del artículo 14 de la LIR. Certificado N° 70  de fecha 12.03.2026</t>
  </si>
  <si>
    <r>
      <t>(- ) Capital social aportado, reajustado al</t>
    </r>
    <r>
      <rPr>
        <b/>
        <sz val="10"/>
        <rFont val="Arial"/>
        <family val="2"/>
      </rPr>
      <t xml:space="preserve"> 31.12.2025</t>
    </r>
  </si>
  <si>
    <r>
      <t xml:space="preserve">(-) Saldo del registro REX positivo antes de imputación, </t>
    </r>
    <r>
      <rPr>
        <b/>
        <sz val="10"/>
        <rFont val="Arial"/>
        <family val="2"/>
      </rPr>
      <t>recuadro N° 15</t>
    </r>
    <r>
      <rPr>
        <sz val="10"/>
        <rFont val="Arial"/>
        <family val="2"/>
      </rPr>
      <t xml:space="preserve"> del F-22 AT 2026</t>
    </r>
  </si>
  <si>
    <t>Socio 2: Srta. Arriagada</t>
  </si>
  <si>
    <t>IDPC, tasa</t>
  </si>
  <si>
    <t xml:space="preserve">(-) Donación al Club Rayuela, actualizado </t>
  </si>
  <si>
    <t>(i) Impuestos efectivamente soportados en el extranjero</t>
  </si>
  <si>
    <t>$9.483.300 / 0,68 x 32%</t>
  </si>
  <si>
    <t>(ii) 35% sobre la renta bruta ($8.060.805 + $5.885.224 = $13.946.029)</t>
  </si>
  <si>
    <t>Pérdidas relacionadas al dividendo percibido</t>
  </si>
  <si>
    <t>Gastos relacionados al dividendo percibido</t>
  </si>
  <si>
    <t>Tasa del Impuesto de retención soportado en el extranjero</t>
  </si>
  <si>
    <t>Tasa del Impuesto corporativo soportado en el extranjero</t>
  </si>
  <si>
    <t xml:space="preserve"> Crédito por IPE imputable al IDPC</t>
  </si>
  <si>
    <t>(a) Renta Neta</t>
  </si>
  <si>
    <t>(b) Tope Individual, cantidad menor entre:</t>
  </si>
  <si>
    <t>(a) Renta neta del ejercicio</t>
  </si>
  <si>
    <t>(b) Tope individual determinado</t>
  </si>
  <si>
    <t>(d) CTD, cantidad menor entre (b) y (c):</t>
  </si>
  <si>
    <t>(b) Tope individual</t>
  </si>
  <si>
    <t>(c) Tope global</t>
  </si>
  <si>
    <t>(d) CTD (Impuestos que pueden ser utilizados como crédito)</t>
  </si>
  <si>
    <t>(c) Tope Global, ((a) + (b)) x 35%:</t>
  </si>
  <si>
    <t>(e) Renta Imponible, ((a) + (d)):</t>
  </si>
  <si>
    <t>Determinación de los impuestos extranjeros utilizables como créditos (CTD)</t>
  </si>
  <si>
    <t>Determinación de la imputación del CTD</t>
  </si>
  <si>
    <t>(d) CTD - crédito imputable al IDPC ($4.529.670 - $3.399.428)</t>
  </si>
  <si>
    <t>(e) Renta imponible x tasa IDPC ($12.590.475 x 27%)</t>
  </si>
  <si>
    <t xml:space="preserve"> Crédito por IPE imputable a IF (Registrar en el SAC)</t>
  </si>
  <si>
    <t>Resultado según balance determinado al 31.12.2025</t>
  </si>
  <si>
    <t>DETERMINACIÓN DEL CRÉDITO POR IPE</t>
  </si>
  <si>
    <r>
      <t xml:space="preserve">De acuerdo a los registros contables y documentación de respaldo, los propietarios de la empresa aportaron el capital conforme al siguiente detalle, cuyos montos se presentan </t>
    </r>
    <r>
      <rPr>
        <u/>
        <sz val="10"/>
        <rFont val="Arial"/>
        <family val="2"/>
      </rPr>
      <t>actualizados</t>
    </r>
    <r>
      <rPr>
        <sz val="10"/>
        <rFont val="Arial"/>
        <family val="2"/>
      </rPr>
      <t xml:space="preserve"> de acuerdo a la variación del IPC entre el mes anterior a aquel en que se efectúa el aporte y el mes anterior al del término del año comercial:</t>
    </r>
  </si>
  <si>
    <t>La sociedad percibe un dividendo de fuente extranjera con fecha 10.07.2025, en Dólar EE.UU , liquidado al tipo de cambio oficial a esa misma fecha</t>
  </si>
  <si>
    <t xml:space="preserve">Dividendo de fuente extranjera percibido con fecha 10.07.2025, en Dólar EE.UU </t>
  </si>
  <si>
    <t>Tipo de cambio Dólar EE.UU al 10.07.2025</t>
  </si>
  <si>
    <t>Dividendo extranjero percibido, en pesos (Dólar EE.UU  8.500 x $948,33)</t>
  </si>
  <si>
    <t>Dólar EE.UU 8.500 x $948,33 = $8.060.805 / 0,85 = $9.483.300 x 15%</t>
  </si>
  <si>
    <r>
      <t xml:space="preserve">CPT positivo final determinado al 31.12.2024, de acuerdo al N°10 del articulo 2 de la LIR, informado en el </t>
    </r>
    <r>
      <rPr>
        <b/>
        <sz val="10"/>
        <rFont val="Arial"/>
        <family val="2"/>
      </rPr>
      <t>código 645</t>
    </r>
    <r>
      <rPr>
        <sz val="10"/>
        <rFont val="Arial"/>
        <family val="2"/>
      </rPr>
      <t xml:space="preserve"> del </t>
    </r>
    <r>
      <rPr>
        <b/>
        <sz val="10"/>
        <rFont val="Arial"/>
        <family val="2"/>
      </rPr>
      <t>recuadro N° 14</t>
    </r>
    <r>
      <rPr>
        <sz val="10"/>
        <rFont val="Arial"/>
        <family val="2"/>
      </rPr>
      <t xml:space="preserve"> del F-22 AT 2025:</t>
    </r>
  </si>
  <si>
    <t>La sociedad decide pagar el IDPC en carácter de voluntario.</t>
  </si>
  <si>
    <t>Valor UF al 31.12.2025:</t>
  </si>
  <si>
    <t>Tipo de cambio Dólar EE.UU  al 10.07.2025:</t>
  </si>
  <si>
    <t>La variación de IPC del ejercicio 2025 fue el siguiente: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</si>
</sst>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2" formatCode="_ &quot;$&quot;* #,##0_ ;_ &quot;$&quot;* \-#,##0_ ;_ &quot;$&quot;* &quot;-&quot;_ ;_ @_ "/>
    <numFmt numFmtId="41" formatCode="_ * #,##0_ ;_ * \-#,##0_ ;_ * &quot;-&quot;_ ;_ @_ "/>
    <numFmt numFmtId="164" formatCode="_-* #,##0.00_-;\-* #,##0.00_-;_-* &quot;-&quot;??_-;_-@_-"/>
    <numFmt numFmtId="165" formatCode="_-* #,##0.00\ _€_-;\-* #,##0.00\ _€_-;_-* &quot;-&quot;??\ _€_-;_-@_-"/>
    <numFmt numFmtId="166" formatCode="#,##0.000000"/>
    <numFmt numFmtId="167" formatCode="0.0%"/>
    <numFmt numFmtId="168" formatCode="#,##0;\(#,##0\)"/>
    <numFmt numFmtId="169" formatCode="_-* #,##0_-;\-* #,##0_-;_-* &quot;-&quot;??_-;_-@_-"/>
    <numFmt numFmtId="170" formatCode="_-* #,##0\ _€_-;\-* #,##0\ _€_-;_-* &quot;-&quot;??\ _€_-;_-@_-"/>
    <numFmt numFmtId="171" formatCode="_-* #,##0.00\ _$_-;\-* #,##0.00\ _$_-;_-* &quot;-&quot;??\ _$_-;_-@_-"/>
    <numFmt numFmtId="172" formatCode="#,##0.000;\(#,##0.000\)"/>
    <numFmt numFmtId="173" formatCode="_ &quot;$&quot;* #,##0.00_ ;_ &quot;$&quot;* \-#,##0.00_ ;_ &quot;$&quot;* &quot;-&quot;_ ;_ @_ "/>
    <numFmt numFmtId="174" formatCode="_ * #,##0.00_ ;_ * \-#,##0.00_ ;_ * &quot;-&quot;_ ;_ @_ "/>
    <numFmt numFmtId="175" formatCode="_ &quot;$&quot;* #,##0_ ;_ &quot;$&quot;* \-#,##0_ ;_ &quot;$&quot;* &quot;0&quot;_ ;_ @_ "/>
  </numFmts>
  <fonts count="51" x14ac:knownFonts="1">
    <font>
      <sz val="11"/>
      <color theme="1"/>
      <name val="Calibri"/>
      <family val="2"/>
      <scheme val="minor"/>
    </font>
    <font>
      <sz val="11"/>
      <color theme="1"/>
      <name val="Calibri"/>
      <family val="2"/>
      <scheme val="minor"/>
    </font>
    <font>
      <sz val="1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2"/>
      <name val="Calibri"/>
      <family val="2"/>
      <scheme val="minor"/>
    </font>
    <font>
      <sz val="12"/>
      <color theme="1"/>
      <name val="Calibri"/>
      <family val="2"/>
      <scheme val="minor"/>
    </font>
    <font>
      <sz val="12"/>
      <name val="Calibri"/>
      <family val="2"/>
      <scheme val="minor"/>
    </font>
    <font>
      <sz val="11"/>
      <color rgb="FF00B050"/>
      <name val="Calibri"/>
      <family val="2"/>
      <scheme val="minor"/>
    </font>
    <font>
      <b/>
      <sz val="12"/>
      <color theme="1"/>
      <name val="Calibri"/>
      <family val="2"/>
      <scheme val="minor"/>
    </font>
    <font>
      <sz val="14"/>
      <color theme="1"/>
      <name val="Calibri"/>
      <family val="2"/>
      <scheme val="minor"/>
    </font>
    <font>
      <sz val="9"/>
      <color theme="1"/>
      <name val="Calibri"/>
      <family val="2"/>
      <scheme val="minor"/>
    </font>
    <font>
      <sz val="11"/>
      <name val="Calibri"/>
      <family val="2"/>
      <scheme val="minor"/>
    </font>
    <font>
      <sz val="10"/>
      <name val="Arial"/>
      <family val="2"/>
    </font>
    <font>
      <sz val="11"/>
      <name val="Calibri"/>
      <family val="2"/>
    </font>
    <font>
      <sz val="16"/>
      <name val="Calibri"/>
      <family val="2"/>
    </font>
    <font>
      <sz val="12"/>
      <name val="Arial"/>
      <family val="2"/>
    </font>
    <font>
      <u/>
      <sz val="10"/>
      <name val="Arial"/>
      <family val="2"/>
    </font>
    <font>
      <sz val="8"/>
      <name val="Arial"/>
      <family val="2"/>
    </font>
    <font>
      <b/>
      <sz val="8"/>
      <name val="Arial"/>
      <family val="2"/>
    </font>
    <font>
      <b/>
      <sz val="10"/>
      <name val="Arial"/>
      <family val="2"/>
    </font>
    <font>
      <sz val="9"/>
      <name val="Arial"/>
      <family val="2"/>
    </font>
    <font>
      <b/>
      <sz val="10"/>
      <color indexed="8"/>
      <name val="Arial"/>
      <family val="2"/>
    </font>
    <font>
      <sz val="10"/>
      <color indexed="8"/>
      <name val="Arial"/>
      <family val="2"/>
    </font>
    <font>
      <sz val="10"/>
      <color theme="9" tint="-0.249977111117893"/>
      <name val="Calibri"/>
      <family val="2"/>
      <scheme val="minor"/>
    </font>
    <font>
      <sz val="11"/>
      <color rgb="FFFF0000"/>
      <name val="Calibri"/>
      <family val="2"/>
      <scheme val="minor"/>
    </font>
    <font>
      <sz val="8"/>
      <name val="Verdana"/>
      <family val="2"/>
    </font>
    <font>
      <strike/>
      <sz val="10"/>
      <name val="Arial"/>
      <family val="2"/>
    </font>
    <font>
      <u val="singleAccounting"/>
      <sz val="10"/>
      <name val="Arial"/>
      <family val="2"/>
    </font>
    <font>
      <b/>
      <sz val="14"/>
      <color rgb="FFFF0000"/>
      <name val="Calibri"/>
      <family val="2"/>
      <scheme val="minor"/>
    </font>
    <font>
      <vertAlign val="superscript"/>
      <sz val="8"/>
      <name val="Arial"/>
      <family val="2"/>
    </font>
    <font>
      <b/>
      <sz val="8"/>
      <color rgb="FFFF0000"/>
      <name val="Arial"/>
      <family val="2"/>
    </font>
    <font>
      <b/>
      <sz val="8"/>
      <color theme="0"/>
      <name val="Arial"/>
      <family val="2"/>
    </font>
    <font>
      <u/>
      <sz val="11"/>
      <color theme="10"/>
      <name val="Calibri"/>
      <family val="2"/>
      <scheme val="minor"/>
    </font>
    <font>
      <b/>
      <u/>
      <sz val="8"/>
      <name val="Calibri"/>
      <family val="2"/>
      <scheme val="minor"/>
    </font>
    <font>
      <sz val="11"/>
      <color rgb="FF000000"/>
      <name val="Arial"/>
      <family val="2"/>
    </font>
    <font>
      <b/>
      <sz val="14"/>
      <name val="Arial"/>
      <family val="2"/>
    </font>
    <font>
      <sz val="9"/>
      <color theme="0"/>
      <name val="Arial"/>
      <family val="2"/>
    </font>
    <font>
      <b/>
      <sz val="11"/>
      <name val="Arial"/>
      <family val="2"/>
    </font>
    <font>
      <b/>
      <sz val="10"/>
      <color theme="1"/>
      <name val="Arial"/>
      <family val="2"/>
    </font>
    <font>
      <sz val="10"/>
      <color theme="1"/>
      <name val="Arial"/>
      <family val="2"/>
    </font>
    <font>
      <sz val="11"/>
      <color theme="1"/>
      <name val="Arial"/>
      <family val="2"/>
    </font>
    <font>
      <sz val="10"/>
      <color theme="0" tint="-0.34998626667073579"/>
      <name val="Arial"/>
      <family val="2"/>
    </font>
    <font>
      <b/>
      <sz val="10"/>
      <color rgb="FFFF0000"/>
      <name val="Arial"/>
      <family val="2"/>
    </font>
    <font>
      <sz val="10"/>
      <color indexed="9"/>
      <name val="Arial"/>
      <family val="2"/>
    </font>
    <font>
      <b/>
      <sz val="14"/>
      <name val="Calibri"/>
      <family val="2"/>
    </font>
    <font>
      <b/>
      <sz val="11"/>
      <name val="Calibri"/>
      <family val="2"/>
    </font>
    <font>
      <sz val="11"/>
      <name val="Arial"/>
      <family val="2"/>
    </font>
    <font>
      <b/>
      <sz val="10"/>
      <color rgb="FF000000"/>
      <name val="Arial"/>
      <family val="2"/>
    </font>
    <font>
      <sz val="11"/>
      <color indexed="8"/>
      <name val="Arial"/>
      <family val="2"/>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indexed="9"/>
        <bgColor indexed="64"/>
      </patternFill>
    </fill>
    <fill>
      <patternFill patternType="solid">
        <fgColor theme="0"/>
        <bgColor rgb="FF000000"/>
      </patternFill>
    </fill>
    <fill>
      <patternFill patternType="solid">
        <fgColor theme="3"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tint="-4.9989318521683403E-2"/>
        <bgColor rgb="FF000000"/>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right/>
      <top style="thin">
        <color theme="4"/>
      </top>
      <bottom style="double">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indexed="64"/>
      </right>
      <top style="thin">
        <color theme="4"/>
      </top>
      <bottom/>
      <diagonal/>
    </border>
    <border>
      <left style="thin">
        <color theme="4"/>
      </left>
      <right/>
      <top/>
      <bottom/>
      <diagonal/>
    </border>
    <border>
      <left/>
      <right/>
      <top style="thin">
        <color indexed="64"/>
      </top>
      <bottom style="thin">
        <color theme="4"/>
      </bottom>
      <diagonal/>
    </border>
    <border>
      <left style="thin">
        <color theme="4"/>
      </left>
      <right/>
      <top/>
      <bottom style="thin">
        <color theme="4"/>
      </bottom>
      <diagonal/>
    </border>
    <border>
      <left/>
      <right/>
      <top/>
      <bottom style="thin">
        <color theme="4"/>
      </bottom>
      <diagonal/>
    </border>
    <border>
      <left style="thin">
        <color indexed="64"/>
      </left>
      <right style="thin">
        <color indexed="64"/>
      </right>
      <top/>
      <bottom style="thin">
        <color theme="4"/>
      </bottom>
      <diagonal/>
    </border>
    <border>
      <left/>
      <right style="thin">
        <color theme="4"/>
      </right>
      <top style="thin">
        <color theme="4"/>
      </top>
      <bottom/>
      <diagonal/>
    </border>
    <border>
      <left/>
      <right style="thin">
        <color theme="4"/>
      </right>
      <top/>
      <bottom/>
      <diagonal/>
    </border>
    <border>
      <left/>
      <right style="thin">
        <color theme="4"/>
      </right>
      <top/>
      <bottom style="thin">
        <color theme="4"/>
      </bottom>
      <diagonal/>
    </border>
    <border>
      <left style="thin">
        <color theme="4"/>
      </left>
      <right style="thin">
        <color theme="4"/>
      </right>
      <top style="thin">
        <color theme="4"/>
      </top>
      <bottom style="thin">
        <color indexed="64"/>
      </bottom>
      <diagonal/>
    </border>
    <border>
      <left style="thin">
        <color theme="4"/>
      </left>
      <right style="thin">
        <color theme="4"/>
      </right>
      <top style="thin">
        <color indexed="64"/>
      </top>
      <bottom style="thin">
        <color indexed="64"/>
      </bottom>
      <diagonal/>
    </border>
    <border>
      <left style="thin">
        <color theme="4"/>
      </left>
      <right style="thin">
        <color theme="4"/>
      </right>
      <top style="thin">
        <color indexed="64"/>
      </top>
      <bottom style="thin">
        <color theme="4"/>
      </bottom>
      <diagonal/>
    </border>
    <border>
      <left/>
      <right style="thin">
        <color theme="4"/>
      </right>
      <top style="thin">
        <color theme="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right style="thin">
        <color indexed="64"/>
      </right>
      <top style="thin">
        <color theme="4"/>
      </top>
      <bottom style="thin">
        <color theme="4"/>
      </bottom>
      <diagonal/>
    </border>
    <border>
      <left/>
      <right style="thin">
        <color theme="4"/>
      </right>
      <top style="thin">
        <color indexed="64"/>
      </top>
      <bottom style="thin">
        <color indexed="64"/>
      </bottom>
      <diagonal/>
    </border>
    <border>
      <left/>
      <right style="thin">
        <color theme="4"/>
      </right>
      <top style="thin">
        <color indexed="64"/>
      </top>
      <bottom style="thin">
        <color theme="4"/>
      </bottom>
      <diagonal/>
    </border>
    <border>
      <left/>
      <right style="thin">
        <color theme="4"/>
      </right>
      <top/>
      <bottom style="thin">
        <color indexed="64"/>
      </bottom>
      <diagonal/>
    </border>
    <border>
      <left style="thin">
        <color indexed="64"/>
      </left>
      <right/>
      <top/>
      <bottom style="thin">
        <color theme="4"/>
      </bottom>
      <diagonal/>
    </border>
    <border>
      <left style="thin">
        <color theme="4"/>
      </left>
      <right style="thin">
        <color indexed="64"/>
      </right>
      <top style="thin">
        <color theme="4"/>
      </top>
      <bottom style="thin">
        <color theme="4"/>
      </bottom>
      <diagonal/>
    </border>
    <border>
      <left style="thin">
        <color theme="4"/>
      </left>
      <right style="thin">
        <color theme="4"/>
      </right>
      <top/>
      <bottom style="thin">
        <color indexed="64"/>
      </bottom>
      <diagonal/>
    </border>
    <border>
      <left style="thin">
        <color theme="4"/>
      </left>
      <right style="thin">
        <color theme="4"/>
      </right>
      <top/>
      <bottom style="thin">
        <color theme="4"/>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thin">
        <color theme="4"/>
      </right>
      <top style="thin">
        <color theme="4"/>
      </top>
      <bottom style="double">
        <color theme="4"/>
      </bottom>
      <diagonal/>
    </border>
    <border>
      <left style="thin">
        <color theme="4"/>
      </left>
      <right/>
      <top style="thin">
        <color theme="4"/>
      </top>
      <bottom style="double">
        <color theme="4"/>
      </bottom>
      <diagonal/>
    </border>
    <border>
      <left/>
      <right style="thin">
        <color theme="4"/>
      </right>
      <top style="thin">
        <color theme="4"/>
      </top>
      <bottom style="double">
        <color theme="4"/>
      </bottom>
      <diagonal/>
    </border>
    <border>
      <left/>
      <right style="thin">
        <color theme="4"/>
      </right>
      <top style="thin">
        <color theme="4"/>
      </top>
      <bottom style="thin">
        <color indexed="64"/>
      </bottom>
      <diagonal/>
    </border>
    <border>
      <left style="thin">
        <color indexed="64"/>
      </left>
      <right style="thin">
        <color theme="4"/>
      </right>
      <top style="thin">
        <color theme="4"/>
      </top>
      <bottom/>
      <diagonal/>
    </border>
    <border>
      <left style="thin">
        <color theme="4"/>
      </left>
      <right style="thin">
        <color indexed="64"/>
      </right>
      <top/>
      <bottom/>
      <diagonal/>
    </border>
    <border>
      <left style="thin">
        <color theme="4"/>
      </left>
      <right style="thin">
        <color indexed="64"/>
      </right>
      <top/>
      <bottom style="thin">
        <color theme="4"/>
      </bottom>
      <diagonal/>
    </border>
    <border>
      <left/>
      <right/>
      <top style="thin">
        <color theme="4"/>
      </top>
      <bottom style="thin">
        <color indexed="64"/>
      </bottom>
      <diagonal/>
    </border>
    <border>
      <left style="thin">
        <color theme="4"/>
      </left>
      <right style="thin">
        <color theme="4"/>
      </right>
      <top/>
      <bottom style="double">
        <color theme="4"/>
      </bottom>
      <diagonal/>
    </border>
    <border>
      <left style="thin">
        <color theme="4"/>
      </left>
      <right style="thin">
        <color indexed="64"/>
      </right>
      <top style="thin">
        <color theme="4"/>
      </top>
      <bottom/>
      <diagonal/>
    </border>
    <border>
      <left style="thin">
        <color indexed="64"/>
      </left>
      <right style="thin">
        <color indexed="64"/>
      </right>
      <top style="thin">
        <color theme="4"/>
      </top>
      <bottom/>
      <diagonal/>
    </border>
    <border>
      <left style="thin">
        <color indexed="64"/>
      </left>
      <right/>
      <top style="thin">
        <color theme="4"/>
      </top>
      <bottom/>
      <diagonal/>
    </border>
    <border>
      <left/>
      <right/>
      <top/>
      <bottom style="double">
        <color theme="4"/>
      </bottom>
      <diagonal/>
    </border>
    <border>
      <left/>
      <right style="thin">
        <color theme="4"/>
      </right>
      <top/>
      <bottom style="double">
        <color theme="4"/>
      </bottom>
      <diagonal/>
    </border>
    <border>
      <left style="thin">
        <color theme="4"/>
      </left>
      <right style="thin">
        <color theme="4"/>
      </right>
      <top style="double">
        <color theme="4"/>
      </top>
      <bottom style="thin">
        <color theme="4"/>
      </bottom>
      <diagonal/>
    </border>
    <border>
      <left style="thin">
        <color theme="4"/>
      </left>
      <right/>
      <top style="double">
        <color theme="4"/>
      </top>
      <bottom style="thin">
        <color theme="4"/>
      </bottom>
      <diagonal/>
    </border>
    <border>
      <left/>
      <right/>
      <top style="double">
        <color theme="4"/>
      </top>
      <bottom style="thin">
        <color theme="4"/>
      </bottom>
      <diagonal/>
    </border>
    <border>
      <left/>
      <right style="thin">
        <color theme="4"/>
      </right>
      <top style="double">
        <color theme="4"/>
      </top>
      <bottom style="thin">
        <color theme="4"/>
      </bottom>
      <diagonal/>
    </border>
    <border>
      <left style="thin">
        <color theme="4"/>
      </left>
      <right style="thin">
        <color theme="4"/>
      </right>
      <top style="double">
        <color theme="4"/>
      </top>
      <bottom/>
      <diagonal/>
    </border>
    <border>
      <left style="thin">
        <color theme="4"/>
      </left>
      <right/>
      <top/>
      <bottom style="double">
        <color theme="4"/>
      </bottom>
      <diagonal/>
    </border>
    <border>
      <left style="medium">
        <color rgb="FF0033CC"/>
      </left>
      <right/>
      <top style="thin">
        <color theme="4"/>
      </top>
      <bottom/>
      <diagonal/>
    </border>
    <border>
      <left style="medium">
        <color rgb="FF0033CC"/>
      </left>
      <right/>
      <top style="thin">
        <color theme="4"/>
      </top>
      <bottom style="thin">
        <color theme="4"/>
      </bottom>
      <diagonal/>
    </border>
    <border>
      <left style="thin">
        <color theme="4"/>
      </left>
      <right style="hair">
        <color rgb="FF0033CC"/>
      </right>
      <top style="thin">
        <color theme="4"/>
      </top>
      <bottom style="thin">
        <color theme="4"/>
      </bottom>
      <diagonal/>
    </border>
    <border>
      <left style="hair">
        <color rgb="FF0033CC"/>
      </left>
      <right style="hair">
        <color rgb="FF0033CC"/>
      </right>
      <top style="thin">
        <color theme="4"/>
      </top>
      <bottom style="thin">
        <color theme="4"/>
      </bottom>
      <diagonal/>
    </border>
    <border>
      <left style="hair">
        <color rgb="FF0033CC"/>
      </left>
      <right style="thin">
        <color theme="4"/>
      </right>
      <top style="thin">
        <color theme="4"/>
      </top>
      <bottom style="thin">
        <color theme="4"/>
      </bottom>
      <diagonal/>
    </border>
  </borders>
  <cellStyleXfs count="16">
    <xf numFmtId="0" fontId="0" fillId="0" borderId="0"/>
    <xf numFmtId="9" fontId="1" fillId="0" borderId="0" applyFont="0" applyFill="0" applyBorder="0" applyAlignment="0" applyProtection="0"/>
    <xf numFmtId="0" fontId="14" fillId="0" borderId="0"/>
    <xf numFmtId="164" fontId="1" fillId="0" borderId="0" applyFont="0" applyFill="0" applyBorder="0" applyAlignment="0" applyProtection="0"/>
    <xf numFmtId="165" fontId="1" fillId="0" borderId="0" applyFont="0" applyFill="0" applyBorder="0" applyAlignment="0" applyProtection="0"/>
    <xf numFmtId="171" fontId="1" fillId="0" borderId="0" applyFont="0" applyFill="0" applyBorder="0" applyAlignment="0" applyProtection="0"/>
    <xf numFmtId="0" fontId="14" fillId="0" borderId="0"/>
    <xf numFmtId="0" fontId="14" fillId="0" borderId="0"/>
    <xf numFmtId="0" fontId="14" fillId="0" borderId="0"/>
    <xf numFmtId="0" fontId="1" fillId="0" borderId="0"/>
    <xf numFmtId="0" fontId="14" fillId="0" borderId="0"/>
    <xf numFmtId="42" fontId="1" fillId="0" borderId="0" applyFont="0" applyFill="0" applyBorder="0" applyAlignment="0" applyProtection="0"/>
    <xf numFmtId="41" fontId="14" fillId="0" borderId="0" applyFont="0" applyFill="0" applyBorder="0" applyAlignment="0" applyProtection="0"/>
    <xf numFmtId="9" fontId="14" fillId="0" borderId="0" applyFont="0" applyFill="0" applyBorder="0" applyAlignment="0" applyProtection="0"/>
    <xf numFmtId="41" fontId="1" fillId="0" borderId="0" applyFont="0" applyFill="0" applyBorder="0" applyAlignment="0" applyProtection="0"/>
    <xf numFmtId="0" fontId="34" fillId="0" borderId="0" applyNumberFormat="0" applyFill="0" applyBorder="0" applyAlignment="0" applyProtection="0"/>
  </cellStyleXfs>
  <cellXfs count="856">
    <xf numFmtId="0" fontId="0" fillId="0" borderId="0" xfId="0"/>
    <xf numFmtId="3" fontId="2" fillId="0" borderId="0" xfId="0" applyNumberFormat="1" applyFont="1"/>
    <xf numFmtId="168" fontId="0" fillId="0" borderId="0" xfId="0" applyNumberFormat="1"/>
    <xf numFmtId="168" fontId="5" fillId="0" borderId="0" xfId="0" applyNumberFormat="1" applyFont="1" applyAlignment="1">
      <alignment vertical="center"/>
    </xf>
    <xf numFmtId="0" fontId="8" fillId="0" borderId="0" xfId="0" applyFont="1" applyAlignment="1">
      <alignment horizontal="left" vertical="center"/>
    </xf>
    <xf numFmtId="3" fontId="8" fillId="0" borderId="0" xfId="0" applyNumberFormat="1" applyFont="1"/>
    <xf numFmtId="168" fontId="7" fillId="0" borderId="0" xfId="0" applyNumberFormat="1" applyFont="1"/>
    <xf numFmtId="168" fontId="9" fillId="0" borderId="0" xfId="0" applyNumberFormat="1" applyFont="1"/>
    <xf numFmtId="0" fontId="6" fillId="0" borderId="0" xfId="0" applyFont="1" applyAlignment="1">
      <alignment horizontal="left"/>
    </xf>
    <xf numFmtId="168" fontId="10" fillId="0" borderId="0" xfId="0" applyNumberFormat="1" applyFont="1" applyAlignment="1">
      <alignment horizontal="right" wrapText="1"/>
    </xf>
    <xf numFmtId="168" fontId="3" fillId="0" borderId="0" xfId="0" applyNumberFormat="1" applyFont="1"/>
    <xf numFmtId="0" fontId="11" fillId="0" borderId="0" xfId="0" applyFont="1"/>
    <xf numFmtId="0" fontId="4" fillId="0" borderId="0" xfId="0" applyFont="1" applyAlignment="1">
      <alignment vertical="center"/>
    </xf>
    <xf numFmtId="0" fontId="0" fillId="0" borderId="0" xfId="0" applyAlignment="1">
      <alignment vertical="center"/>
    </xf>
    <xf numFmtId="0" fontId="12" fillId="0" borderId="0" xfId="0" applyFont="1"/>
    <xf numFmtId="0" fontId="7" fillId="0" borderId="0" xfId="0" applyFont="1"/>
    <xf numFmtId="0" fontId="15" fillId="0" borderId="0" xfId="2" quotePrefix="1" applyFont="1" applyAlignment="1">
      <alignment horizontal="left"/>
    </xf>
    <xf numFmtId="3" fontId="0" fillId="0" borderId="0" xfId="0" applyNumberFormat="1"/>
    <xf numFmtId="170" fontId="0" fillId="0" borderId="0" xfId="4" applyNumberFormat="1" applyFont="1"/>
    <xf numFmtId="170" fontId="3" fillId="0" borderId="0" xfId="4" applyNumberFormat="1" applyFont="1"/>
    <xf numFmtId="0" fontId="20" fillId="0" borderId="0" xfId="6" applyFont="1"/>
    <xf numFmtId="0" fontId="21" fillId="0" borderId="0" xfId="6" applyFont="1" applyAlignment="1">
      <alignment horizontal="center" wrapText="1"/>
    </xf>
    <xf numFmtId="0" fontId="21" fillId="0" borderId="0" xfId="6" applyFont="1" applyAlignment="1">
      <alignment horizontal="right" wrapText="1"/>
    </xf>
    <xf numFmtId="0" fontId="21" fillId="0" borderId="1" xfId="6" applyFont="1" applyBorder="1" applyAlignment="1">
      <alignment horizontal="center" wrapText="1"/>
    </xf>
    <xf numFmtId="0" fontId="4" fillId="2" borderId="0" xfId="0" applyFont="1" applyFill="1"/>
    <xf numFmtId="0" fontId="14" fillId="2" borderId="0" xfId="9" applyFont="1" applyFill="1"/>
    <xf numFmtId="0" fontId="22" fillId="4" borderId="0" xfId="9" applyFont="1" applyFill="1"/>
    <xf numFmtId="0" fontId="14" fillId="2" borderId="20" xfId="9" applyFont="1" applyFill="1" applyBorder="1"/>
    <xf numFmtId="0" fontId="14" fillId="2" borderId="21" xfId="9" applyFont="1" applyFill="1" applyBorder="1"/>
    <xf numFmtId="0" fontId="14" fillId="2" borderId="22" xfId="9" applyFont="1" applyFill="1" applyBorder="1"/>
    <xf numFmtId="0" fontId="14" fillId="2" borderId="23" xfId="9" applyFont="1" applyFill="1" applyBorder="1"/>
    <xf numFmtId="0" fontId="21" fillId="3" borderId="24" xfId="9" applyFont="1" applyFill="1" applyBorder="1" applyAlignment="1">
      <alignment wrapText="1"/>
    </xf>
    <xf numFmtId="0" fontId="21" fillId="2" borderId="1" xfId="9" applyFont="1" applyFill="1" applyBorder="1"/>
    <xf numFmtId="0" fontId="14" fillId="2" borderId="1" xfId="9" applyFont="1" applyFill="1" applyBorder="1" applyAlignment="1">
      <alignment wrapText="1"/>
    </xf>
    <xf numFmtId="0" fontId="22" fillId="2" borderId="0" xfId="9" applyFont="1" applyFill="1"/>
    <xf numFmtId="0" fontId="21" fillId="2" borderId="1" xfId="9" applyFont="1" applyFill="1" applyBorder="1" applyAlignment="1">
      <alignment wrapText="1"/>
    </xf>
    <xf numFmtId="0" fontId="21" fillId="0" borderId="1" xfId="9" applyFont="1" applyBorder="1"/>
    <xf numFmtId="0" fontId="14" fillId="0" borderId="1" xfId="9" applyFont="1" applyBorder="1" applyAlignment="1">
      <alignment wrapText="1"/>
    </xf>
    <xf numFmtId="0" fontId="21" fillId="2" borderId="0" xfId="9" applyFont="1" applyFill="1"/>
    <xf numFmtId="0" fontId="14" fillId="2" borderId="0" xfId="9" applyFont="1" applyFill="1" applyAlignment="1">
      <alignment wrapText="1"/>
    </xf>
    <xf numFmtId="0" fontId="21" fillId="2" borderId="0" xfId="9" applyFont="1" applyFill="1" applyAlignment="1">
      <alignment wrapText="1"/>
    </xf>
    <xf numFmtId="0" fontId="2" fillId="0" borderId="0" xfId="6" applyFont="1"/>
    <xf numFmtId="3" fontId="2" fillId="0" borderId="0" xfId="6" applyNumberFormat="1" applyFont="1"/>
    <xf numFmtId="0" fontId="13" fillId="0" borderId="0" xfId="6" applyFont="1"/>
    <xf numFmtId="3" fontId="13" fillId="0" borderId="0" xfId="6" applyNumberFormat="1" applyFont="1"/>
    <xf numFmtId="42" fontId="13" fillId="0" borderId="0" xfId="11" applyFont="1"/>
    <xf numFmtId="3" fontId="25" fillId="0" borderId="0" xfId="0" applyNumberFormat="1" applyFont="1"/>
    <xf numFmtId="0" fontId="26" fillId="0" borderId="0" xfId="0" applyFont="1"/>
    <xf numFmtId="168" fontId="26" fillId="0" borderId="0" xfId="0" applyNumberFormat="1" applyFont="1"/>
    <xf numFmtId="0" fontId="19" fillId="0" borderId="0" xfId="6" applyFont="1"/>
    <xf numFmtId="0" fontId="19" fillId="0" borderId="0" xfId="0" applyFont="1"/>
    <xf numFmtId="170" fontId="19" fillId="0" borderId="0" xfId="4" applyNumberFormat="1" applyFont="1"/>
    <xf numFmtId="0" fontId="14" fillId="0" borderId="0" xfId="0" applyFont="1"/>
    <xf numFmtId="3" fontId="21" fillId="0" borderId="0" xfId="0" applyNumberFormat="1" applyFont="1"/>
    <xf numFmtId="3" fontId="14" fillId="0" borderId="0" xfId="0" applyNumberFormat="1" applyFont="1"/>
    <xf numFmtId="3" fontId="21" fillId="0" borderId="0" xfId="0" applyNumberFormat="1" applyFont="1" applyAlignment="1">
      <alignment horizontal="justify" vertical="top"/>
    </xf>
    <xf numFmtId="3" fontId="14" fillId="0" borderId="0" xfId="0" applyNumberFormat="1" applyFont="1" applyAlignment="1">
      <alignment horizontal="left"/>
    </xf>
    <xf numFmtId="3" fontId="14" fillId="0" borderId="0" xfId="0" applyNumberFormat="1" applyFont="1" applyAlignment="1">
      <alignment horizontal="justify" wrapText="1"/>
    </xf>
    <xf numFmtId="3" fontId="21" fillId="0" borderId="0" xfId="0" applyNumberFormat="1" applyFont="1" applyAlignment="1">
      <alignment vertical="top"/>
    </xf>
    <xf numFmtId="3" fontId="28" fillId="0" borderId="0" xfId="0" applyNumberFormat="1" applyFont="1"/>
    <xf numFmtId="3" fontId="14" fillId="0" borderId="0" xfId="0" applyNumberFormat="1" applyFont="1" applyAlignment="1">
      <alignment vertical="center"/>
    </xf>
    <xf numFmtId="3" fontId="14" fillId="2" borderId="0" xfId="0" applyNumberFormat="1" applyFont="1" applyFill="1"/>
    <xf numFmtId="42" fontId="14" fillId="0" borderId="0" xfId="0" applyNumberFormat="1" applyFont="1"/>
    <xf numFmtId="3" fontId="14" fillId="0" borderId="0" xfId="0" applyNumberFormat="1" applyFont="1" applyAlignment="1">
      <alignment vertical="top"/>
    </xf>
    <xf numFmtId="168" fontId="14" fillId="0" borderId="0" xfId="0" applyNumberFormat="1" applyFont="1" applyAlignment="1">
      <alignment horizontal="right" vertical="center"/>
    </xf>
    <xf numFmtId="167" fontId="14" fillId="2" borderId="0" xfId="1" applyNumberFormat="1" applyFont="1" applyFill="1"/>
    <xf numFmtId="0" fontId="21" fillId="0" borderId="0" xfId="6" applyFont="1"/>
    <xf numFmtId="0" fontId="14" fillId="0" borderId="0" xfId="6"/>
    <xf numFmtId="42" fontId="14" fillId="0" borderId="0" xfId="11" applyFont="1"/>
    <xf numFmtId="3" fontId="14" fillId="0" borderId="0" xfId="6" applyNumberFormat="1"/>
    <xf numFmtId="42" fontId="14" fillId="0" borderId="0" xfId="11" applyFont="1" applyBorder="1"/>
    <xf numFmtId="0" fontId="21" fillId="0" borderId="0" xfId="0" applyFont="1"/>
    <xf numFmtId="0" fontId="14" fillId="0" borderId="0" xfId="0" applyFont="1" applyAlignment="1">
      <alignment horizontal="left" vertical="center"/>
    </xf>
    <xf numFmtId="168" fontId="14" fillId="0" borderId="0" xfId="0" applyNumberFormat="1" applyFont="1"/>
    <xf numFmtId="3" fontId="14" fillId="0" borderId="0" xfId="0" applyNumberFormat="1" applyFont="1" applyAlignment="1">
      <alignment horizontal="left" vertical="center"/>
    </xf>
    <xf numFmtId="168" fontId="14" fillId="0" borderId="0" xfId="0" applyNumberFormat="1" applyFont="1" applyAlignment="1">
      <alignment horizontal="right" wrapText="1"/>
    </xf>
    <xf numFmtId="168" fontId="14" fillId="0" borderId="0" xfId="0" applyNumberFormat="1" applyFont="1" applyAlignment="1">
      <alignment vertical="center"/>
    </xf>
    <xf numFmtId="170" fontId="14" fillId="0" borderId="0" xfId="4" applyNumberFormat="1" applyFont="1" applyBorder="1"/>
    <xf numFmtId="170" fontId="14" fillId="0" borderId="0" xfId="4" applyNumberFormat="1" applyFont="1"/>
    <xf numFmtId="9" fontId="14" fillId="0" borderId="0" xfId="1" applyFont="1"/>
    <xf numFmtId="0" fontId="21" fillId="0" borderId="0" xfId="6" applyFont="1" applyAlignment="1">
      <alignment vertical="center"/>
    </xf>
    <xf numFmtId="0" fontId="14" fillId="0" borderId="0" xfId="6" applyAlignment="1">
      <alignment vertical="center"/>
    </xf>
    <xf numFmtId="0" fontId="14" fillId="2" borderId="0" xfId="0" applyFont="1" applyFill="1"/>
    <xf numFmtId="0" fontId="14" fillId="0" borderId="0" xfId="0" applyFont="1" applyAlignment="1">
      <alignment vertical="center"/>
    </xf>
    <xf numFmtId="0" fontId="24" fillId="0" borderId="0" xfId="0" applyFont="1"/>
    <xf numFmtId="0" fontId="21" fillId="0" borderId="0" xfId="2" applyFont="1"/>
    <xf numFmtId="168" fontId="24" fillId="0" borderId="0" xfId="0" applyNumberFormat="1" applyFont="1"/>
    <xf numFmtId="173" fontId="14" fillId="4" borderId="0" xfId="11" applyNumberFormat="1" applyFont="1" applyFill="1"/>
    <xf numFmtId="0" fontId="13" fillId="2" borderId="0" xfId="0" applyFont="1" applyFill="1"/>
    <xf numFmtId="0" fontId="14" fillId="2" borderId="26" xfId="9" applyFont="1" applyFill="1" applyBorder="1"/>
    <xf numFmtId="0" fontId="21" fillId="2" borderId="25" xfId="8" applyFont="1" applyFill="1" applyBorder="1" applyAlignment="1">
      <alignment wrapText="1"/>
    </xf>
    <xf numFmtId="0" fontId="14" fillId="2" borderId="25" xfId="9" quotePrefix="1" applyFont="1" applyFill="1" applyBorder="1" applyAlignment="1">
      <alignment horizontal="right"/>
    </xf>
    <xf numFmtId="0" fontId="14" fillId="5" borderId="25" xfId="8" applyFill="1" applyBorder="1" applyAlignment="1">
      <alignment wrapText="1"/>
    </xf>
    <xf numFmtId="0" fontId="14" fillId="5" borderId="25" xfId="8" applyFill="1" applyBorder="1"/>
    <xf numFmtId="0" fontId="14" fillId="5" borderId="25" xfId="10" applyFill="1" applyBorder="1" applyAlignment="1">
      <alignment horizontal="left" vertical="center"/>
    </xf>
    <xf numFmtId="0" fontId="21" fillId="5" borderId="25" xfId="8" applyFont="1" applyFill="1" applyBorder="1" applyAlignment="1">
      <alignment wrapText="1"/>
    </xf>
    <xf numFmtId="0" fontId="14" fillId="0" borderId="25" xfId="9" quotePrefix="1" applyFont="1" applyBorder="1" applyAlignment="1">
      <alignment horizontal="right"/>
    </xf>
    <xf numFmtId="0" fontId="14" fillId="0" borderId="25" xfId="8" applyBorder="1"/>
    <xf numFmtId="0" fontId="14" fillId="5" borderId="25" xfId="10" applyFill="1" applyBorder="1" applyAlignment="1">
      <alignment horizontal="left" vertical="center" wrapText="1"/>
    </xf>
    <xf numFmtId="41" fontId="19" fillId="0" borderId="0" xfId="14" applyFont="1"/>
    <xf numFmtId="173" fontId="14" fillId="0" borderId="0" xfId="11" applyNumberFormat="1" applyFont="1" applyAlignment="1">
      <alignment horizontal="right"/>
    </xf>
    <xf numFmtId="174" fontId="14" fillId="0" borderId="0" xfId="14" applyNumberFormat="1" applyFont="1" applyAlignment="1">
      <alignment horizontal="right"/>
    </xf>
    <xf numFmtId="168" fontId="21" fillId="0" borderId="0" xfId="0" applyNumberFormat="1" applyFont="1" applyAlignment="1">
      <alignment vertical="center"/>
    </xf>
    <xf numFmtId="0" fontId="30" fillId="0" borderId="0" xfId="6" applyFont="1" applyAlignment="1">
      <alignment horizontal="left"/>
    </xf>
    <xf numFmtId="0" fontId="20" fillId="0" borderId="0" xfId="7" applyFont="1" applyProtection="1">
      <protection hidden="1"/>
    </xf>
    <xf numFmtId="0" fontId="20" fillId="0" borderId="0" xfId="6" applyFont="1" applyAlignment="1">
      <alignment wrapText="1"/>
    </xf>
    <xf numFmtId="0" fontId="20" fillId="0" borderId="0" xfId="7" applyFont="1" applyAlignment="1" applyProtection="1">
      <alignment vertical="center" wrapText="1"/>
      <protection hidden="1"/>
    </xf>
    <xf numFmtId="0" fontId="20" fillId="0" borderId="0" xfId="7" applyFont="1" applyAlignment="1" applyProtection="1">
      <alignment horizontal="left" vertical="center" wrapText="1"/>
      <protection hidden="1"/>
    </xf>
    <xf numFmtId="0" fontId="20" fillId="0" borderId="0" xfId="7" applyFont="1" applyAlignment="1" applyProtection="1">
      <alignment vertical="top" wrapText="1"/>
      <protection hidden="1"/>
    </xf>
    <xf numFmtId="0" fontId="20" fillId="0" borderId="0" xfId="6" applyFont="1" applyAlignment="1">
      <alignment horizontal="left"/>
    </xf>
    <xf numFmtId="0" fontId="20" fillId="0" borderId="0" xfId="6" applyFont="1" applyAlignment="1">
      <alignment horizontal="center" vertical="center" wrapText="1"/>
    </xf>
    <xf numFmtId="0" fontId="19" fillId="0" borderId="1" xfId="6" applyFont="1" applyBorder="1" applyAlignment="1">
      <alignment horizontal="center" vertical="center" wrapText="1"/>
    </xf>
    <xf numFmtId="0" fontId="20" fillId="0" borderId="0" xfId="6" applyFont="1" applyAlignment="1">
      <alignment vertical="center"/>
    </xf>
    <xf numFmtId="0" fontId="19" fillId="0" borderId="2" xfId="6" applyFont="1" applyBorder="1" applyAlignment="1">
      <alignment horizontal="center" vertical="center" wrapText="1"/>
    </xf>
    <xf numFmtId="0" fontId="19" fillId="0" borderId="1" xfId="6" applyFont="1" applyBorder="1" applyAlignment="1">
      <alignment horizontal="center" vertical="top" wrapText="1"/>
    </xf>
    <xf numFmtId="0" fontId="20" fillId="0" borderId="0" xfId="6" applyFont="1" applyAlignment="1">
      <alignment vertical="top" wrapText="1"/>
    </xf>
    <xf numFmtId="0" fontId="20" fillId="0" borderId="0" xfId="6" applyFont="1" applyAlignment="1">
      <alignment horizontal="left" vertical="top"/>
    </xf>
    <xf numFmtId="0" fontId="20" fillId="0" borderId="0" xfId="6" applyFont="1" applyAlignment="1">
      <alignment horizontal="center" vertical="top" wrapText="1"/>
    </xf>
    <xf numFmtId="0" fontId="20" fillId="0" borderId="0" xfId="8" applyFont="1"/>
    <xf numFmtId="0" fontId="20" fillId="0" borderId="0" xfId="8" applyFont="1" applyAlignment="1">
      <alignment horizontal="left"/>
    </xf>
    <xf numFmtId="0" fontId="20" fillId="0" borderId="0" xfId="8" applyFont="1" applyAlignment="1">
      <alignment horizontal="center" wrapText="1"/>
    </xf>
    <xf numFmtId="0" fontId="20" fillId="0" borderId="0" xfId="8" applyFont="1" applyAlignment="1">
      <alignment horizontal="center" vertical="center" wrapText="1"/>
    </xf>
    <xf numFmtId="0" fontId="19" fillId="0" borderId="1" xfId="8" applyFont="1" applyBorder="1" applyAlignment="1">
      <alignment horizontal="center" vertical="center" wrapText="1"/>
    </xf>
    <xf numFmtId="0" fontId="19" fillId="0" borderId="1" xfId="8" applyFont="1" applyBorder="1" applyAlignment="1">
      <alignment horizontal="center" wrapText="1"/>
    </xf>
    <xf numFmtId="0" fontId="19" fillId="0" borderId="1" xfId="8" applyFont="1" applyBorder="1" applyAlignment="1">
      <alignment horizontal="center"/>
    </xf>
    <xf numFmtId="0" fontId="19" fillId="0" borderId="2" xfId="8" applyFont="1" applyBorder="1" applyAlignment="1">
      <alignment horizontal="center"/>
    </xf>
    <xf numFmtId="0" fontId="19" fillId="0" borderId="7" xfId="6" applyFont="1" applyBorder="1" applyAlignment="1">
      <alignment horizontal="center" vertical="center" wrapText="1"/>
    </xf>
    <xf numFmtId="0" fontId="32" fillId="0" borderId="0" xfId="6" applyFont="1" applyAlignment="1">
      <alignment horizontal="center" wrapText="1"/>
    </xf>
    <xf numFmtId="41" fontId="20" fillId="0" borderId="0" xfId="14" applyFont="1"/>
    <xf numFmtId="41" fontId="19" fillId="0" borderId="1" xfId="14" applyFont="1" applyBorder="1" applyAlignment="1">
      <alignment horizontal="center" vertical="center" wrapText="1"/>
    </xf>
    <xf numFmtId="0" fontId="19" fillId="0" borderId="2" xfId="6" applyFont="1" applyBorder="1" applyAlignment="1">
      <alignment horizontal="left" vertical="center" wrapText="1"/>
    </xf>
    <xf numFmtId="0" fontId="20" fillId="0" borderId="0" xfId="6" applyFont="1" applyAlignment="1">
      <alignment vertical="center" wrapText="1"/>
    </xf>
    <xf numFmtId="0" fontId="33" fillId="0" borderId="0" xfId="6" applyFont="1" applyAlignment="1">
      <alignment horizontal="center" vertical="center" wrapText="1"/>
    </xf>
    <xf numFmtId="0" fontId="35" fillId="6" borderId="19" xfId="15" applyFont="1" applyFill="1" applyBorder="1" applyAlignment="1">
      <alignment horizontal="center"/>
    </xf>
    <xf numFmtId="0" fontId="36" fillId="0" borderId="18" xfId="0" applyFont="1" applyBorder="1" applyAlignment="1">
      <alignment horizontal="justify" vertical="center"/>
    </xf>
    <xf numFmtId="0" fontId="38" fillId="2" borderId="0" xfId="9" applyFont="1" applyFill="1"/>
    <xf numFmtId="0" fontId="5" fillId="2" borderId="27" xfId="9" applyFont="1" applyFill="1" applyBorder="1" applyAlignment="1">
      <alignment horizontal="center" vertical="center" wrapText="1"/>
    </xf>
    <xf numFmtId="0" fontId="20" fillId="3" borderId="24" xfId="9" applyFont="1" applyFill="1" applyBorder="1" applyAlignment="1">
      <alignment horizontal="center" wrapText="1"/>
    </xf>
    <xf numFmtId="0" fontId="39" fillId="3" borderId="24" xfId="9" applyFont="1" applyFill="1" applyBorder="1" applyAlignment="1">
      <alignment wrapText="1"/>
    </xf>
    <xf numFmtId="0" fontId="21" fillId="7" borderId="7" xfId="9" applyFont="1" applyFill="1" applyBorder="1"/>
    <xf numFmtId="0" fontId="21" fillId="7" borderId="7" xfId="9" applyFont="1" applyFill="1" applyBorder="1" applyAlignment="1">
      <alignment wrapText="1"/>
    </xf>
    <xf numFmtId="0" fontId="21" fillId="7" borderId="1" xfId="9" applyFont="1" applyFill="1" applyBorder="1"/>
    <xf numFmtId="0" fontId="21" fillId="7" borderId="1" xfId="9" applyFont="1" applyFill="1" applyBorder="1" applyAlignment="1">
      <alignment wrapText="1"/>
    </xf>
    <xf numFmtId="0" fontId="40" fillId="2" borderId="25" xfId="9" quotePrefix="1" applyFont="1" applyFill="1" applyBorder="1" applyAlignment="1">
      <alignment horizontal="right"/>
    </xf>
    <xf numFmtId="0" fontId="41" fillId="2" borderId="25" xfId="9" quotePrefix="1" applyFont="1" applyFill="1" applyBorder="1" applyAlignment="1">
      <alignment horizontal="right"/>
    </xf>
    <xf numFmtId="0" fontId="14" fillId="0" borderId="25" xfId="8" applyBorder="1" applyAlignment="1">
      <alignment wrapText="1"/>
    </xf>
    <xf numFmtId="0" fontId="21" fillId="0" borderId="25" xfId="8" applyFont="1" applyBorder="1" applyAlignment="1">
      <alignment wrapText="1"/>
    </xf>
    <xf numFmtId="0" fontId="21" fillId="0" borderId="25" xfId="9" quotePrefix="1" applyFont="1" applyBorder="1" applyAlignment="1">
      <alignment horizontal="right"/>
    </xf>
    <xf numFmtId="0" fontId="21" fillId="0" borderId="25" xfId="8" applyFont="1" applyBorder="1"/>
    <xf numFmtId="0" fontId="14" fillId="0" borderId="25" xfId="10" applyBorder="1" applyAlignment="1">
      <alignment horizontal="left" vertical="center"/>
    </xf>
    <xf numFmtId="0" fontId="41" fillId="2" borderId="0" xfId="9" applyFont="1" applyFill="1"/>
    <xf numFmtId="0" fontId="42" fillId="2" borderId="0" xfId="9" applyFont="1" applyFill="1"/>
    <xf numFmtId="0" fontId="1" fillId="2" borderId="0" xfId="9" applyFill="1"/>
    <xf numFmtId="9" fontId="43" fillId="0" borderId="0" xfId="1" applyFont="1" applyFill="1" applyAlignment="1">
      <alignment horizontal="center"/>
    </xf>
    <xf numFmtId="5" fontId="43" fillId="0" borderId="0" xfId="0" applyNumberFormat="1" applyFont="1" applyAlignment="1">
      <alignment horizontal="center"/>
    </xf>
    <xf numFmtId="3" fontId="19" fillId="0" borderId="2" xfId="14" applyNumberFormat="1" applyFont="1" applyBorder="1" applyAlignment="1">
      <alignment horizontal="center" vertical="center" wrapText="1"/>
    </xf>
    <xf numFmtId="3" fontId="19" fillId="0" borderId="1" xfId="14" applyNumberFormat="1" applyFont="1" applyBorder="1" applyAlignment="1">
      <alignment horizontal="center" vertical="center" wrapText="1"/>
    </xf>
    <xf numFmtId="41" fontId="0" fillId="0" borderId="0" xfId="14" applyFont="1"/>
    <xf numFmtId="0" fontId="44" fillId="0" borderId="0" xfId="6" applyFont="1"/>
    <xf numFmtId="0" fontId="41" fillId="0" borderId="0" xfId="0" applyFont="1"/>
    <xf numFmtId="0" fontId="45" fillId="0" borderId="0" xfId="0" applyFont="1"/>
    <xf numFmtId="0" fontId="45" fillId="0" borderId="0" xfId="0" applyFont="1" applyAlignment="1">
      <alignment vertical="center"/>
    </xf>
    <xf numFmtId="0" fontId="41" fillId="0" borderId="0" xfId="0" applyFont="1" applyAlignment="1">
      <alignment vertical="center"/>
    </xf>
    <xf numFmtId="3" fontId="41" fillId="0" borderId="0" xfId="0" applyNumberFormat="1" applyFont="1" applyAlignment="1">
      <alignment vertical="center"/>
    </xf>
    <xf numFmtId="169" fontId="41" fillId="0" borderId="0" xfId="3" applyNumberFormat="1" applyFont="1" applyAlignment="1">
      <alignment vertical="center"/>
    </xf>
    <xf numFmtId="169" fontId="41" fillId="0" borderId="0" xfId="0" applyNumberFormat="1" applyFont="1" applyAlignment="1">
      <alignment vertical="center"/>
    </xf>
    <xf numFmtId="3" fontId="45" fillId="0" borderId="0" xfId="0" applyNumberFormat="1" applyFont="1" applyAlignment="1">
      <alignment vertical="center"/>
    </xf>
    <xf numFmtId="3" fontId="14" fillId="4" borderId="0" xfId="0" applyNumberFormat="1" applyFont="1" applyFill="1"/>
    <xf numFmtId="3" fontId="21" fillId="0" borderId="0" xfId="0" applyNumberFormat="1" applyFont="1" applyAlignment="1">
      <alignment vertical="center"/>
    </xf>
    <xf numFmtId="41" fontId="41" fillId="0" borderId="0" xfId="0" applyNumberFormat="1" applyFont="1"/>
    <xf numFmtId="3" fontId="41" fillId="0" borderId="0" xfId="0" applyNumberFormat="1" applyFont="1"/>
    <xf numFmtId="0" fontId="15" fillId="0" borderId="0" xfId="6" applyFont="1"/>
    <xf numFmtId="0" fontId="46" fillId="0" borderId="0" xfId="6" applyFont="1"/>
    <xf numFmtId="0" fontId="16" fillId="0" borderId="0" xfId="6" applyFont="1"/>
    <xf numFmtId="0" fontId="17" fillId="0" borderId="14" xfId="6" quotePrefix="1" applyFont="1" applyBorder="1" applyAlignment="1">
      <alignment horizontal="center"/>
    </xf>
    <xf numFmtId="0" fontId="14" fillId="0" borderId="0" xfId="6" applyAlignment="1">
      <alignment horizontal="right"/>
    </xf>
    <xf numFmtId="0" fontId="14" fillId="0" borderId="0" xfId="6" applyAlignment="1">
      <alignment horizontal="center"/>
    </xf>
    <xf numFmtId="0" fontId="14" fillId="0" borderId="1" xfId="6" applyBorder="1"/>
    <xf numFmtId="0" fontId="15" fillId="0" borderId="2" xfId="6" applyFont="1" applyBorder="1"/>
    <xf numFmtId="0" fontId="15" fillId="0" borderId="4" xfId="6" applyFont="1" applyBorder="1"/>
    <xf numFmtId="0" fontId="15" fillId="0" borderId="3" xfId="6" applyFont="1" applyBorder="1"/>
    <xf numFmtId="168" fontId="15" fillId="0" borderId="3" xfId="6" applyNumberFormat="1" applyFont="1" applyBorder="1" applyAlignment="1">
      <alignment vertical="center" wrapText="1"/>
    </xf>
    <xf numFmtId="0" fontId="15" fillId="0" borderId="7" xfId="6" applyFont="1" applyBorder="1" applyAlignment="1">
      <alignment horizontal="center" vertical="center"/>
    </xf>
    <xf numFmtId="0" fontId="15" fillId="0" borderId="0" xfId="6" applyFont="1" applyAlignment="1">
      <alignment horizontal="center" vertical="center"/>
    </xf>
    <xf numFmtId="0" fontId="15" fillId="0" borderId="0" xfId="6" applyFont="1" applyAlignment="1">
      <alignment horizontal="left" vertical="center"/>
    </xf>
    <xf numFmtId="3" fontId="15" fillId="0" borderId="0" xfId="6" applyNumberFormat="1" applyFont="1"/>
    <xf numFmtId="168" fontId="15" fillId="0" borderId="0" xfId="6" applyNumberFormat="1" applyFont="1" applyAlignment="1">
      <alignment horizontal="center" vertical="center" wrapText="1"/>
    </xf>
    <xf numFmtId="0" fontId="18" fillId="0" borderId="0" xfId="6" applyFont="1"/>
    <xf numFmtId="0" fontId="15" fillId="0" borderId="1" xfId="6" applyFont="1" applyBorder="1" applyAlignment="1">
      <alignment horizontal="center" vertical="center"/>
    </xf>
    <xf numFmtId="0" fontId="19" fillId="0" borderId="0" xfId="2" applyFont="1" applyAlignment="1">
      <alignment horizontal="center"/>
    </xf>
    <xf numFmtId="0" fontId="19" fillId="0" borderId="2" xfId="2" applyFont="1" applyBorder="1" applyAlignment="1">
      <alignment vertical="center"/>
    </xf>
    <xf numFmtId="0" fontId="19" fillId="0" borderId="4" xfId="2" applyFont="1" applyBorder="1" applyAlignment="1">
      <alignment vertical="center"/>
    </xf>
    <xf numFmtId="0" fontId="19" fillId="0" borderId="0" xfId="2" applyFont="1" applyAlignment="1">
      <alignment vertical="center"/>
    </xf>
    <xf numFmtId="0" fontId="19" fillId="0" borderId="3" xfId="2" applyFont="1" applyBorder="1" applyAlignment="1">
      <alignment vertical="center"/>
    </xf>
    <xf numFmtId="0" fontId="15" fillId="0" borderId="7" xfId="6" quotePrefix="1" applyFont="1" applyBorder="1" applyAlignment="1">
      <alignment horizontal="center" vertical="center"/>
    </xf>
    <xf numFmtId="3" fontId="15" fillId="0" borderId="7" xfId="6" applyNumberFormat="1" applyFont="1" applyBorder="1" applyAlignment="1">
      <alignment horizontal="center" vertical="center"/>
    </xf>
    <xf numFmtId="3" fontId="44" fillId="0" borderId="0" xfId="0" applyNumberFormat="1" applyFont="1" applyAlignment="1">
      <alignment vertical="center"/>
    </xf>
    <xf numFmtId="3" fontId="14" fillId="0" borderId="29" xfId="0" applyNumberFormat="1" applyFont="1" applyBorder="1"/>
    <xf numFmtId="3" fontId="14" fillId="0" borderId="36" xfId="0" applyNumberFormat="1" applyFont="1" applyBorder="1"/>
    <xf numFmtId="168" fontId="14" fillId="0" borderId="40" xfId="0" applyNumberFormat="1" applyFont="1" applyBorder="1"/>
    <xf numFmtId="0" fontId="14" fillId="0" borderId="0" xfId="0" applyFont="1" applyAlignment="1">
      <alignment vertical="top"/>
    </xf>
    <xf numFmtId="0" fontId="41" fillId="0" borderId="0" xfId="0" applyFont="1" applyAlignment="1">
      <alignment vertical="top"/>
    </xf>
    <xf numFmtId="3" fontId="14" fillId="0" borderId="38" xfId="0" applyNumberFormat="1" applyFont="1" applyBorder="1"/>
    <xf numFmtId="3" fontId="14" fillId="0" borderId="33" xfId="0" applyNumberFormat="1" applyFont="1" applyBorder="1"/>
    <xf numFmtId="3" fontId="14" fillId="0" borderId="39" xfId="0" applyNumberFormat="1" applyFont="1" applyBorder="1"/>
    <xf numFmtId="3" fontId="14" fillId="0" borderId="35" xfId="0" applyNumberFormat="1" applyFont="1" applyBorder="1"/>
    <xf numFmtId="3" fontId="14" fillId="0" borderId="40" xfId="0" applyNumberFormat="1" applyFont="1" applyBorder="1"/>
    <xf numFmtId="3" fontId="14" fillId="0" borderId="38" xfId="0" applyNumberFormat="1" applyFont="1" applyBorder="1" applyAlignment="1">
      <alignment horizontal="center"/>
    </xf>
    <xf numFmtId="3" fontId="14" fillId="0" borderId="55" xfId="0" applyNumberFormat="1" applyFont="1" applyBorder="1"/>
    <xf numFmtId="3" fontId="14" fillId="0" borderId="56" xfId="0" applyNumberFormat="1" applyFont="1" applyBorder="1"/>
    <xf numFmtId="3" fontId="14" fillId="0" borderId="54" xfId="0" applyNumberFormat="1" applyFont="1" applyBorder="1"/>
    <xf numFmtId="3" fontId="14" fillId="0" borderId="57" xfId="0" applyNumberFormat="1" applyFont="1" applyBorder="1"/>
    <xf numFmtId="3" fontId="14" fillId="0" borderId="58" xfId="0" applyNumberFormat="1" applyFont="1" applyBorder="1"/>
    <xf numFmtId="9" fontId="14" fillId="0" borderId="44" xfId="1" applyFont="1" applyBorder="1" applyAlignment="1">
      <alignment horizontal="center"/>
    </xf>
    <xf numFmtId="3" fontId="14" fillId="0" borderId="44" xfId="0" applyNumberFormat="1" applyFont="1" applyBorder="1"/>
    <xf numFmtId="3" fontId="14" fillId="8" borderId="55" xfId="0" applyNumberFormat="1" applyFont="1" applyFill="1" applyBorder="1" applyAlignment="1">
      <alignment horizontal="center"/>
    </xf>
    <xf numFmtId="3" fontId="14" fillId="8" borderId="38" xfId="0" applyNumberFormat="1" applyFont="1" applyFill="1" applyBorder="1" applyAlignment="1">
      <alignment horizontal="center"/>
    </xf>
    <xf numFmtId="3" fontId="14" fillId="8" borderId="29" xfId="0" applyNumberFormat="1" applyFont="1" applyFill="1" applyBorder="1" applyAlignment="1">
      <alignment horizontal="center" vertical="center" wrapText="1"/>
    </xf>
    <xf numFmtId="166" fontId="14" fillId="8" borderId="44" xfId="0" applyNumberFormat="1" applyFont="1" applyFill="1" applyBorder="1" applyAlignment="1">
      <alignment horizontal="center" vertical="center" wrapText="1"/>
    </xf>
    <xf numFmtId="3" fontId="14" fillId="8" borderId="44" xfId="0" applyNumberFormat="1" applyFont="1" applyFill="1" applyBorder="1" applyAlignment="1">
      <alignment horizontal="center" vertical="center" wrapText="1"/>
    </xf>
    <xf numFmtId="3" fontId="14" fillId="8" borderId="54" xfId="0" applyNumberFormat="1" applyFont="1" applyFill="1" applyBorder="1" applyAlignment="1">
      <alignment horizontal="center" vertical="center" wrapText="1"/>
    </xf>
    <xf numFmtId="3" fontId="14" fillId="8" borderId="40" xfId="0" applyNumberFormat="1" applyFont="1" applyFill="1" applyBorder="1" applyAlignment="1">
      <alignment horizontal="center" vertical="center" wrapText="1"/>
    </xf>
    <xf numFmtId="9" fontId="14" fillId="0" borderId="40" xfId="1" applyFont="1" applyBorder="1" applyAlignment="1">
      <alignment horizontal="center"/>
    </xf>
    <xf numFmtId="3" fontId="14" fillId="0" borderId="0" xfId="0" applyNumberFormat="1" applyFont="1" applyAlignment="1">
      <alignment horizontal="right"/>
    </xf>
    <xf numFmtId="3" fontId="14" fillId="0" borderId="0" xfId="0" applyNumberFormat="1" applyFont="1" applyAlignment="1">
      <alignment horizontal="right" vertical="top"/>
    </xf>
    <xf numFmtId="3" fontId="21" fillId="0" borderId="39" xfId="0" applyNumberFormat="1" applyFont="1" applyBorder="1"/>
    <xf numFmtId="0" fontId="14" fillId="0" borderId="40" xfId="0" applyFont="1" applyBorder="1" applyAlignment="1">
      <alignment horizontal="center"/>
    </xf>
    <xf numFmtId="167" fontId="14" fillId="0" borderId="40" xfId="1" applyNumberFormat="1" applyFont="1" applyFill="1" applyBorder="1" applyAlignment="1">
      <alignment horizontal="center"/>
    </xf>
    <xf numFmtId="167" fontId="14" fillId="0" borderId="44" xfId="1" applyNumberFormat="1" applyFont="1" applyFill="1" applyBorder="1" applyAlignment="1">
      <alignment horizontal="center"/>
    </xf>
    <xf numFmtId="3" fontId="14" fillId="8" borderId="29" xfId="0" applyNumberFormat="1" applyFont="1" applyFill="1" applyBorder="1" applyAlignment="1">
      <alignment horizontal="center" wrapText="1"/>
    </xf>
    <xf numFmtId="0" fontId="14" fillId="8" borderId="36" xfId="0" applyFont="1" applyFill="1" applyBorder="1" applyAlignment="1">
      <alignment horizontal="center" wrapText="1"/>
    </xf>
    <xf numFmtId="3" fontId="14" fillId="0" borderId="59" xfId="0" applyNumberFormat="1" applyFont="1" applyBorder="1"/>
    <xf numFmtId="3" fontId="14" fillId="0" borderId="60" xfId="0" applyNumberFormat="1" applyFont="1" applyBorder="1"/>
    <xf numFmtId="3" fontId="14" fillId="0" borderId="28" xfId="0" applyNumberFormat="1" applyFont="1" applyBorder="1"/>
    <xf numFmtId="3" fontId="14" fillId="0" borderId="61" xfId="0" applyNumberFormat="1" applyFont="1" applyBorder="1"/>
    <xf numFmtId="167" fontId="14" fillId="0" borderId="61" xfId="1" applyNumberFormat="1" applyFont="1" applyFill="1" applyBorder="1" applyAlignment="1">
      <alignment horizontal="center"/>
    </xf>
    <xf numFmtId="9" fontId="14" fillId="0" borderId="61" xfId="1" applyFont="1" applyBorder="1" applyAlignment="1">
      <alignment horizontal="center"/>
    </xf>
    <xf numFmtId="0" fontId="14" fillId="0" borderId="39" xfId="0" applyFont="1" applyBorder="1" applyAlignment="1">
      <alignment horizontal="center" vertical="center"/>
    </xf>
    <xf numFmtId="3" fontId="14" fillId="0" borderId="39" xfId="0" applyNumberFormat="1" applyFont="1" applyBorder="1" applyAlignment="1">
      <alignment horizontal="center" vertical="center"/>
    </xf>
    <xf numFmtId="0" fontId="19" fillId="0" borderId="39" xfId="0" applyFont="1" applyBorder="1"/>
    <xf numFmtId="168" fontId="14" fillId="0" borderId="58" xfId="0" applyNumberFormat="1" applyFont="1" applyBorder="1"/>
    <xf numFmtId="3" fontId="21" fillId="0" borderId="58" xfId="0" applyNumberFormat="1" applyFont="1" applyBorder="1"/>
    <xf numFmtId="168" fontId="21" fillId="0" borderId="58" xfId="0" applyNumberFormat="1" applyFont="1" applyBorder="1"/>
    <xf numFmtId="0" fontId="14" fillId="0" borderId="55" xfId="0" applyFont="1" applyBorder="1" applyAlignment="1">
      <alignment horizontal="center" vertical="center"/>
    </xf>
    <xf numFmtId="0" fontId="14" fillId="0" borderId="56" xfId="0" applyFont="1" applyBorder="1" applyAlignment="1">
      <alignment horizontal="center" vertical="center"/>
    </xf>
    <xf numFmtId="3" fontId="14" fillId="0" borderId="56" xfId="0" applyNumberFormat="1" applyFont="1" applyBorder="1" applyAlignment="1">
      <alignment horizontal="center" vertical="center"/>
    </xf>
    <xf numFmtId="0" fontId="14" fillId="0" borderId="54" xfId="0" applyFont="1" applyBorder="1" applyAlignment="1">
      <alignment horizontal="center" vertical="center"/>
    </xf>
    <xf numFmtId="0" fontId="14" fillId="0" borderId="36" xfId="0" applyFont="1" applyBorder="1" applyAlignment="1">
      <alignment horizontal="left" vertical="center"/>
    </xf>
    <xf numFmtId="168" fontId="14" fillId="0" borderId="36" xfId="0" applyNumberFormat="1" applyFont="1" applyBorder="1"/>
    <xf numFmtId="168" fontId="14" fillId="0" borderId="39" xfId="0" applyNumberFormat="1" applyFont="1" applyBorder="1" applyAlignment="1">
      <alignment horizontal="right" wrapText="1"/>
    </xf>
    <xf numFmtId="168" fontId="14" fillId="0" borderId="40" xfId="0" applyNumberFormat="1" applyFont="1" applyBorder="1" applyAlignment="1">
      <alignment horizontal="right" wrapText="1"/>
    </xf>
    <xf numFmtId="168" fontId="14" fillId="0" borderId="44" xfId="0" applyNumberFormat="1" applyFont="1" applyBorder="1" applyAlignment="1">
      <alignment horizontal="right" wrapText="1"/>
    </xf>
    <xf numFmtId="168" fontId="14" fillId="0" borderId="39" xfId="0" applyNumberFormat="1" applyFont="1" applyBorder="1" applyAlignment="1">
      <alignment horizontal="center"/>
    </xf>
    <xf numFmtId="172" fontId="14" fillId="0" borderId="39" xfId="0" applyNumberFormat="1" applyFont="1" applyBorder="1" applyAlignment="1">
      <alignment horizontal="center"/>
    </xf>
    <xf numFmtId="0" fontId="21" fillId="0" borderId="44" xfId="0" applyFont="1" applyBorder="1" applyAlignment="1">
      <alignment horizontal="right" vertical="center"/>
    </xf>
    <xf numFmtId="168" fontId="14" fillId="0" borderId="39" xfId="0" applyNumberFormat="1" applyFont="1" applyBorder="1"/>
    <xf numFmtId="168" fontId="21" fillId="0" borderId="39" xfId="0" applyNumberFormat="1" applyFont="1" applyBorder="1"/>
    <xf numFmtId="0" fontId="14" fillId="0" borderId="56" xfId="0" applyFont="1" applyBorder="1"/>
    <xf numFmtId="0" fontId="14" fillId="0" borderId="56" xfId="0" applyFont="1" applyBorder="1" applyAlignment="1">
      <alignment horizontal="center"/>
    </xf>
    <xf numFmtId="0" fontId="14" fillId="0" borderId="39" xfId="0" applyFont="1" applyBorder="1"/>
    <xf numFmtId="168" fontId="14" fillId="2" borderId="36" xfId="0" applyNumberFormat="1" applyFont="1" applyFill="1" applyBorder="1"/>
    <xf numFmtId="42" fontId="14" fillId="0" borderId="40" xfId="0" applyNumberFormat="1" applyFont="1" applyBorder="1" applyAlignment="1">
      <alignment horizontal="right" wrapText="1"/>
    </xf>
    <xf numFmtId="168" fontId="14" fillId="2" borderId="58" xfId="0" applyNumberFormat="1" applyFont="1" applyFill="1" applyBorder="1" applyAlignment="1">
      <alignment horizontal="center"/>
    </xf>
    <xf numFmtId="168" fontId="14" fillId="2" borderId="29" xfId="0" applyNumberFormat="1" applyFont="1" applyFill="1" applyBorder="1" applyAlignment="1">
      <alignment horizontal="center"/>
    </xf>
    <xf numFmtId="167" fontId="14" fillId="2" borderId="54" xfId="1" applyNumberFormat="1" applyFont="1" applyFill="1" applyBorder="1" applyAlignment="1">
      <alignment horizontal="center"/>
    </xf>
    <xf numFmtId="0" fontId="14" fillId="2" borderId="36" xfId="0" applyFont="1" applyFill="1" applyBorder="1"/>
    <xf numFmtId="0" fontId="14" fillId="0" borderId="35" xfId="0" applyFont="1" applyBorder="1" applyAlignment="1">
      <alignment horizontal="center"/>
    </xf>
    <xf numFmtId="0" fontId="14" fillId="0" borderId="35" xfId="0" applyFont="1" applyBorder="1" applyAlignment="1">
      <alignment horizontal="center" vertical="center"/>
    </xf>
    <xf numFmtId="0" fontId="14" fillId="0" borderId="54" xfId="0" applyFont="1" applyBorder="1"/>
    <xf numFmtId="0" fontId="14" fillId="0" borderId="33" xfId="0" applyFont="1" applyBorder="1" applyAlignment="1">
      <alignment horizontal="left" vertical="center"/>
    </xf>
    <xf numFmtId="3" fontId="14" fillId="0" borderId="33" xfId="0" applyNumberFormat="1" applyFont="1" applyBorder="1" applyAlignment="1">
      <alignment horizontal="left" vertical="center"/>
    </xf>
    <xf numFmtId="0" fontId="14" fillId="0" borderId="58" xfId="0" applyFont="1" applyBorder="1" applyAlignment="1">
      <alignment horizontal="left" vertical="center"/>
    </xf>
    <xf numFmtId="168" fontId="14" fillId="0" borderId="38" xfId="0" applyNumberFormat="1" applyFont="1" applyBorder="1" applyAlignment="1">
      <alignment vertical="center"/>
    </xf>
    <xf numFmtId="168" fontId="14" fillId="0" borderId="39" xfId="0" applyNumberFormat="1" applyFont="1" applyBorder="1" applyAlignment="1">
      <alignment horizontal="right" vertical="center" wrapText="1"/>
    </xf>
    <xf numFmtId="168" fontId="14" fillId="0" borderId="39" xfId="0" applyNumberFormat="1" applyFont="1" applyBorder="1" applyAlignment="1">
      <alignment vertical="center"/>
    </xf>
    <xf numFmtId="0" fontId="14" fillId="0" borderId="57" xfId="0" applyFont="1" applyBorder="1" applyAlignment="1">
      <alignment horizontal="left" vertical="center"/>
    </xf>
    <xf numFmtId="3" fontId="14" fillId="0" borderId="58" xfId="0" applyNumberFormat="1" applyFont="1" applyBorder="1" applyAlignment="1">
      <alignment vertical="center"/>
    </xf>
    <xf numFmtId="168" fontId="14" fillId="0" borderId="58" xfId="0" applyNumberFormat="1" applyFont="1" applyBorder="1" applyAlignment="1">
      <alignment vertical="center"/>
    </xf>
    <xf numFmtId="168" fontId="14" fillId="0" borderId="44" xfId="0" applyNumberFormat="1" applyFont="1" applyBorder="1" applyAlignment="1">
      <alignment vertical="center"/>
    </xf>
    <xf numFmtId="170" fontId="21" fillId="0" borderId="0" xfId="4" applyNumberFormat="1" applyFont="1" applyBorder="1"/>
    <xf numFmtId="0" fontId="21" fillId="0" borderId="57" xfId="0" applyFont="1" applyBorder="1"/>
    <xf numFmtId="0" fontId="21" fillId="0" borderId="58" xfId="0" applyFont="1" applyBorder="1"/>
    <xf numFmtId="3" fontId="14" fillId="0" borderId="36" xfId="0" applyNumberFormat="1" applyFont="1" applyBorder="1" applyAlignment="1">
      <alignment horizontal="left" vertical="center"/>
    </xf>
    <xf numFmtId="3" fontId="21" fillId="0" borderId="28" xfId="0" applyNumberFormat="1" applyFont="1" applyBorder="1"/>
    <xf numFmtId="168" fontId="21" fillId="0" borderId="28" xfId="0" applyNumberFormat="1" applyFont="1" applyBorder="1"/>
    <xf numFmtId="168" fontId="21" fillId="0" borderId="61" xfId="0" applyNumberFormat="1" applyFont="1" applyBorder="1"/>
    <xf numFmtId="0" fontId="14" fillId="0" borderId="28" xfId="0" applyFont="1" applyBorder="1"/>
    <xf numFmtId="0" fontId="14" fillId="8" borderId="29" xfId="0" applyFont="1" applyFill="1" applyBorder="1" applyAlignment="1">
      <alignment horizontal="center" vertical="center" wrapText="1"/>
    </xf>
    <xf numFmtId="0" fontId="14" fillId="8" borderId="44" xfId="0" applyFont="1" applyFill="1" applyBorder="1" applyAlignment="1">
      <alignment horizontal="center" vertical="center"/>
    </xf>
    <xf numFmtId="0" fontId="21" fillId="0" borderId="56" xfId="0" applyFont="1" applyBorder="1" applyAlignment="1">
      <alignment horizontal="center" vertical="center"/>
    </xf>
    <xf numFmtId="3" fontId="14" fillId="0" borderId="67" xfId="0" applyNumberFormat="1" applyFont="1" applyBorder="1" applyAlignment="1">
      <alignment horizontal="center" vertical="center"/>
    </xf>
    <xf numFmtId="3" fontId="14" fillId="0" borderId="67" xfId="0" applyNumberFormat="1" applyFont="1" applyBorder="1" applyAlignment="1">
      <alignment horizontal="left" vertical="center"/>
    </xf>
    <xf numFmtId="168" fontId="18" fillId="0" borderId="0" xfId="0" applyNumberFormat="1" applyFont="1" applyAlignment="1">
      <alignment horizontal="center"/>
    </xf>
    <xf numFmtId="168" fontId="18" fillId="0" borderId="39" xfId="0" applyNumberFormat="1" applyFont="1" applyBorder="1" applyAlignment="1">
      <alignment horizontal="center"/>
    </xf>
    <xf numFmtId="172" fontId="18" fillId="0" borderId="39" xfId="0" applyNumberFormat="1" applyFont="1" applyBorder="1" applyAlignment="1">
      <alignment horizontal="center"/>
    </xf>
    <xf numFmtId="168" fontId="21" fillId="0" borderId="40" xfId="0" applyNumberFormat="1" applyFont="1" applyBorder="1"/>
    <xf numFmtId="0" fontId="14" fillId="0" borderId="28" xfId="0" applyFont="1" applyBorder="1" applyAlignment="1">
      <alignment horizontal="left" vertical="center"/>
    </xf>
    <xf numFmtId="168" fontId="18" fillId="0" borderId="58" xfId="0" applyNumberFormat="1" applyFont="1" applyBorder="1"/>
    <xf numFmtId="168" fontId="18" fillId="0" borderId="44" xfId="0" applyNumberFormat="1" applyFont="1" applyBorder="1"/>
    <xf numFmtId="168" fontId="14" fillId="2" borderId="44" xfId="0" applyNumberFormat="1" applyFont="1" applyFill="1" applyBorder="1" applyAlignment="1">
      <alignment horizontal="right" wrapText="1"/>
    </xf>
    <xf numFmtId="3" fontId="14" fillId="0" borderId="33" xfId="0" applyNumberFormat="1" applyFont="1" applyBorder="1" applyAlignment="1">
      <alignment vertical="center"/>
    </xf>
    <xf numFmtId="168" fontId="14" fillId="0" borderId="33" xfId="0" applyNumberFormat="1" applyFont="1" applyBorder="1"/>
    <xf numFmtId="168" fontId="14" fillId="0" borderId="33" xfId="0" applyNumberFormat="1" applyFont="1" applyBorder="1" applyAlignment="1">
      <alignment horizontal="left" vertical="center"/>
    </xf>
    <xf numFmtId="168" fontId="14" fillId="0" borderId="0" xfId="0" applyNumberFormat="1" applyFont="1" applyAlignment="1">
      <alignment horizontal="left" vertical="center"/>
    </xf>
    <xf numFmtId="167" fontId="14" fillId="0" borderId="0" xfId="1" applyNumberFormat="1" applyFont="1" applyFill="1" applyBorder="1"/>
    <xf numFmtId="3" fontId="14" fillId="0" borderId="56" xfId="0" applyNumberFormat="1" applyFont="1" applyBorder="1" applyAlignment="1">
      <alignment vertical="center"/>
    </xf>
    <xf numFmtId="168" fontId="14" fillId="0" borderId="56" xfId="0" applyNumberFormat="1" applyFont="1" applyBorder="1"/>
    <xf numFmtId="168" fontId="14" fillId="2" borderId="56" xfId="0" applyNumberFormat="1" applyFont="1" applyFill="1" applyBorder="1"/>
    <xf numFmtId="168" fontId="14" fillId="2" borderId="0" xfId="0" applyNumberFormat="1" applyFont="1" applyFill="1"/>
    <xf numFmtId="3" fontId="14" fillId="0" borderId="39" xfId="0" applyNumberFormat="1" applyFont="1" applyBorder="1" applyAlignment="1">
      <alignment vertical="center"/>
    </xf>
    <xf numFmtId="168" fontId="14" fillId="2" borderId="39" xfId="0" applyNumberFormat="1" applyFont="1" applyFill="1" applyBorder="1"/>
    <xf numFmtId="3" fontId="14" fillId="0" borderId="57" xfId="0" applyNumberFormat="1" applyFont="1" applyBorder="1" applyAlignment="1">
      <alignment vertical="center"/>
    </xf>
    <xf numFmtId="3" fontId="14" fillId="0" borderId="29" xfId="0" applyNumberFormat="1" applyFont="1" applyBorder="1" applyAlignment="1">
      <alignment vertical="center"/>
    </xf>
    <xf numFmtId="3" fontId="14" fillId="0" borderId="44" xfId="0" applyNumberFormat="1" applyFont="1" applyBorder="1" applyAlignment="1">
      <alignment vertical="center"/>
    </xf>
    <xf numFmtId="168" fontId="14" fillId="2" borderId="44" xfId="0" applyNumberFormat="1" applyFont="1" applyFill="1" applyBorder="1"/>
    <xf numFmtId="168" fontId="14" fillId="0" borderId="29" xfId="0" applyNumberFormat="1" applyFont="1" applyBorder="1" applyAlignment="1">
      <alignment vertical="center"/>
    </xf>
    <xf numFmtId="168" fontId="14" fillId="0" borderId="54" xfId="0" applyNumberFormat="1" applyFont="1" applyBorder="1" applyAlignment="1">
      <alignment vertical="center"/>
    </xf>
    <xf numFmtId="168" fontId="14" fillId="0" borderId="36" xfId="0" applyNumberFormat="1" applyFont="1" applyBorder="1" applyAlignment="1">
      <alignment vertical="center"/>
    </xf>
    <xf numFmtId="168" fontId="14" fillId="0" borderId="40" xfId="0" applyNumberFormat="1" applyFont="1" applyBorder="1" applyAlignment="1">
      <alignment vertical="center"/>
    </xf>
    <xf numFmtId="168" fontId="14" fillId="0" borderId="35" xfId="0" applyNumberFormat="1" applyFont="1" applyBorder="1"/>
    <xf numFmtId="168" fontId="14" fillId="0" borderId="54" xfId="0" applyNumberFormat="1" applyFont="1" applyBorder="1"/>
    <xf numFmtId="166" fontId="14" fillId="8" borderId="29" xfId="0" applyNumberFormat="1" applyFont="1" applyFill="1" applyBorder="1" applyAlignment="1">
      <alignment horizontal="center" vertical="center" wrapText="1"/>
    </xf>
    <xf numFmtId="166" fontId="14" fillId="8" borderId="55" xfId="0" applyNumberFormat="1" applyFont="1" applyFill="1" applyBorder="1" applyAlignment="1">
      <alignment horizontal="center" vertical="center" wrapText="1"/>
    </xf>
    <xf numFmtId="168" fontId="14" fillId="0" borderId="67" xfId="0" applyNumberFormat="1" applyFont="1" applyBorder="1"/>
    <xf numFmtId="0" fontId="14" fillId="0" borderId="67" xfId="0" applyFont="1" applyBorder="1" applyAlignment="1">
      <alignment horizontal="center" vertical="center"/>
    </xf>
    <xf numFmtId="3" fontId="14" fillId="0" borderId="71" xfId="0" applyNumberFormat="1" applyFont="1" applyBorder="1"/>
    <xf numFmtId="3" fontId="14" fillId="0" borderId="72" xfId="0" applyNumberFormat="1" applyFont="1" applyBorder="1"/>
    <xf numFmtId="168" fontId="14" fillId="0" borderId="72" xfId="0" applyNumberFormat="1" applyFont="1" applyBorder="1"/>
    <xf numFmtId="0" fontId="14" fillId="0" borderId="71" xfId="0" applyFont="1" applyBorder="1" applyAlignment="1">
      <alignment horizontal="left" vertical="center"/>
    </xf>
    <xf numFmtId="168" fontId="5" fillId="0" borderId="39" xfId="0" applyNumberFormat="1" applyFont="1" applyBorder="1" applyAlignment="1">
      <alignment vertical="center"/>
    </xf>
    <xf numFmtId="168" fontId="0" fillId="0" borderId="39" xfId="0" applyNumberFormat="1" applyBorder="1"/>
    <xf numFmtId="0" fontId="14" fillId="0" borderId="75" xfId="0" applyFont="1" applyBorder="1" applyAlignment="1">
      <alignment horizontal="left" vertical="center"/>
    </xf>
    <xf numFmtId="3" fontId="14" fillId="0" borderId="75" xfId="0" applyNumberFormat="1" applyFont="1" applyBorder="1"/>
    <xf numFmtId="168" fontId="14" fillId="0" borderId="72" xfId="0" applyNumberFormat="1" applyFont="1" applyBorder="1" applyAlignment="1">
      <alignment horizontal="right" wrapText="1"/>
    </xf>
    <xf numFmtId="168" fontId="14" fillId="0" borderId="76" xfId="0" applyNumberFormat="1" applyFont="1" applyBorder="1"/>
    <xf numFmtId="168" fontId="21" fillId="0" borderId="56" xfId="0" applyNumberFormat="1" applyFont="1" applyBorder="1"/>
    <xf numFmtId="0" fontId="14" fillId="0" borderId="74" xfId="0" applyFont="1" applyBorder="1" applyAlignment="1">
      <alignment horizontal="left"/>
    </xf>
    <xf numFmtId="168" fontId="14" fillId="0" borderId="76" xfId="0" applyNumberFormat="1" applyFont="1" applyBorder="1" applyAlignment="1">
      <alignment horizontal="right" wrapText="1"/>
    </xf>
    <xf numFmtId="168" fontId="14" fillId="0" borderId="40" xfId="0" applyNumberFormat="1" applyFont="1" applyBorder="1" applyAlignment="1">
      <alignment horizontal="right" vertical="center" wrapText="1"/>
    </xf>
    <xf numFmtId="0" fontId="14" fillId="0" borderId="60" xfId="0" applyFont="1" applyBorder="1" applyAlignment="1">
      <alignment horizontal="left" vertical="center"/>
    </xf>
    <xf numFmtId="3" fontId="14" fillId="0" borderId="28" xfId="0" applyNumberFormat="1" applyFont="1" applyBorder="1" applyAlignment="1">
      <alignment vertical="center"/>
    </xf>
    <xf numFmtId="168" fontId="14" fillId="0" borderId="28" xfId="0" applyNumberFormat="1" applyFont="1" applyBorder="1" applyAlignment="1">
      <alignment vertical="center"/>
    </xf>
    <xf numFmtId="168" fontId="14" fillId="0" borderId="61" xfId="0" applyNumberFormat="1" applyFont="1" applyBorder="1" applyAlignment="1">
      <alignment vertical="center"/>
    </xf>
    <xf numFmtId="168" fontId="14" fillId="0" borderId="61" xfId="0" applyNumberFormat="1" applyFont="1" applyBorder="1" applyAlignment="1">
      <alignment horizontal="right" vertical="center" wrapText="1"/>
    </xf>
    <xf numFmtId="3" fontId="14" fillId="0" borderId="36" xfId="0" applyNumberFormat="1" applyFont="1" applyBorder="1" applyAlignment="1">
      <alignment vertical="center"/>
    </xf>
    <xf numFmtId="3" fontId="14" fillId="0" borderId="40" xfId="0" applyNumberFormat="1" applyFont="1" applyBorder="1" applyAlignment="1">
      <alignment vertical="center"/>
    </xf>
    <xf numFmtId="42" fontId="14" fillId="0" borderId="0" xfId="11" applyFont="1" applyAlignment="1">
      <alignment horizontal="right" vertical="top"/>
    </xf>
    <xf numFmtId="0" fontId="19" fillId="0" borderId="39" xfId="0" applyFont="1" applyBorder="1" applyAlignment="1">
      <alignment vertical="center"/>
    </xf>
    <xf numFmtId="0" fontId="14" fillId="0" borderId="39" xfId="0" applyFont="1" applyBorder="1" applyAlignment="1">
      <alignment vertical="center"/>
    </xf>
    <xf numFmtId="0" fontId="14" fillId="0" borderId="56" xfId="0" applyFont="1" applyBorder="1" applyAlignment="1">
      <alignment vertical="center"/>
    </xf>
    <xf numFmtId="0" fontId="19" fillId="0" borderId="0" xfId="0" applyFont="1" applyAlignment="1">
      <alignment vertical="center"/>
    </xf>
    <xf numFmtId="168" fontId="14" fillId="0" borderId="60" xfId="0" applyNumberFormat="1" applyFont="1" applyBorder="1" applyAlignment="1">
      <alignment vertical="center"/>
    </xf>
    <xf numFmtId="170" fontId="14" fillId="0" borderId="61" xfId="4" applyNumberFormat="1" applyFont="1" applyBorder="1"/>
    <xf numFmtId="168" fontId="14" fillId="0" borderId="61" xfId="0" applyNumberFormat="1" applyFont="1" applyBorder="1" applyAlignment="1">
      <alignment horizontal="right" wrapText="1"/>
    </xf>
    <xf numFmtId="168" fontId="14" fillId="2" borderId="73" xfId="0" applyNumberFormat="1" applyFont="1" applyFill="1" applyBorder="1" applyAlignment="1">
      <alignment horizontal="center"/>
    </xf>
    <xf numFmtId="0" fontId="21" fillId="0" borderId="75" xfId="0" applyFont="1" applyBorder="1"/>
    <xf numFmtId="168" fontId="21" fillId="0" borderId="75" xfId="0" applyNumberFormat="1" applyFont="1" applyBorder="1"/>
    <xf numFmtId="168" fontId="21" fillId="0" borderId="76" xfId="0" applyNumberFormat="1" applyFont="1" applyBorder="1"/>
    <xf numFmtId="168" fontId="21" fillId="0" borderId="44" xfId="0" applyNumberFormat="1" applyFont="1" applyBorder="1"/>
    <xf numFmtId="0" fontId="14" fillId="0" borderId="78" xfId="0" applyFont="1" applyBorder="1" applyAlignment="1">
      <alignment horizontal="center" vertical="center"/>
    </xf>
    <xf numFmtId="0" fontId="14" fillId="0" borderId="77" xfId="0" applyFont="1" applyBorder="1" applyAlignment="1">
      <alignment horizontal="left" vertical="center"/>
    </xf>
    <xf numFmtId="3" fontId="14" fillId="0" borderId="78" xfId="0" applyNumberFormat="1" applyFont="1" applyBorder="1" applyAlignment="1">
      <alignment horizontal="center" vertical="center"/>
    </xf>
    <xf numFmtId="168" fontId="14" fillId="0" borderId="77" xfId="0" applyNumberFormat="1" applyFont="1" applyBorder="1" applyAlignment="1">
      <alignment horizontal="center" vertical="center" wrapText="1"/>
    </xf>
    <xf numFmtId="0" fontId="24" fillId="0" borderId="0" xfId="0" applyFont="1" applyAlignment="1">
      <alignment horizontal="left" vertical="center"/>
    </xf>
    <xf numFmtId="3" fontId="24" fillId="0" borderId="0" xfId="0" applyNumberFormat="1" applyFont="1"/>
    <xf numFmtId="168" fontId="24" fillId="0" borderId="39" xfId="0" applyNumberFormat="1" applyFont="1" applyBorder="1" applyAlignment="1">
      <alignment horizontal="right" wrapText="1"/>
    </xf>
    <xf numFmtId="168" fontId="24" fillId="0" borderId="39" xfId="0" applyNumberFormat="1" applyFont="1" applyBorder="1"/>
    <xf numFmtId="167" fontId="24" fillId="0" borderId="39" xfId="1" applyNumberFormat="1" applyFont="1" applyBorder="1"/>
    <xf numFmtId="168" fontId="24" fillId="0" borderId="40" xfId="0" applyNumberFormat="1" applyFont="1" applyBorder="1" applyAlignment="1">
      <alignment horizontal="right" wrapText="1"/>
    </xf>
    <xf numFmtId="0" fontId="24" fillId="0" borderId="30" xfId="0" applyFont="1" applyBorder="1" applyAlignment="1">
      <alignment horizontal="left" vertical="center"/>
    </xf>
    <xf numFmtId="0" fontId="24" fillId="0" borderId="33" xfId="0" applyFont="1" applyBorder="1" applyAlignment="1">
      <alignment horizontal="left" vertical="center"/>
    </xf>
    <xf numFmtId="3" fontId="24" fillId="0" borderId="39" xfId="0" applyNumberFormat="1" applyFont="1" applyBorder="1" applyAlignment="1">
      <alignment horizontal="center"/>
    </xf>
    <xf numFmtId="0" fontId="24" fillId="0" borderId="35" xfId="0" applyFont="1" applyBorder="1" applyAlignment="1">
      <alignment horizontal="left"/>
    </xf>
    <xf numFmtId="0" fontId="24" fillId="0" borderId="78" xfId="0" applyFont="1" applyBorder="1" applyAlignment="1">
      <alignment horizontal="left" vertical="center"/>
    </xf>
    <xf numFmtId="168" fontId="23" fillId="0" borderId="39" xfId="0" applyNumberFormat="1" applyFont="1" applyBorder="1"/>
    <xf numFmtId="168" fontId="23" fillId="0" borderId="72" xfId="0" applyNumberFormat="1" applyFont="1" applyBorder="1" applyAlignment="1">
      <alignment horizontal="right" wrapText="1"/>
    </xf>
    <xf numFmtId="0" fontId="0" fillId="0" borderId="39" xfId="0" applyBorder="1"/>
    <xf numFmtId="3" fontId="48" fillId="0" borderId="36" xfId="0" applyNumberFormat="1" applyFont="1" applyBorder="1"/>
    <xf numFmtId="0" fontId="24" fillId="8" borderId="58" xfId="0" applyFont="1" applyFill="1" applyBorder="1"/>
    <xf numFmtId="3" fontId="14" fillId="8" borderId="58" xfId="0" applyNumberFormat="1" applyFont="1" applyFill="1" applyBorder="1"/>
    <xf numFmtId="3" fontId="14" fillId="8" borderId="57" xfId="0" applyNumberFormat="1" applyFont="1" applyFill="1" applyBorder="1"/>
    <xf numFmtId="3" fontId="14" fillId="0" borderId="78" xfId="0" applyNumberFormat="1" applyFont="1" applyBorder="1"/>
    <xf numFmtId="3" fontId="14" fillId="8" borderId="44" xfId="0" applyNumberFormat="1" applyFont="1" applyFill="1" applyBorder="1"/>
    <xf numFmtId="0" fontId="14" fillId="0" borderId="30" xfId="0" applyFont="1" applyBorder="1" applyAlignment="1">
      <alignment vertical="center"/>
    </xf>
    <xf numFmtId="0" fontId="14" fillId="0" borderId="31" xfId="0" applyFont="1" applyBorder="1" applyAlignment="1">
      <alignment vertical="center"/>
    </xf>
    <xf numFmtId="0" fontId="14" fillId="0" borderId="44" xfId="0" applyFont="1" applyBorder="1" applyAlignment="1">
      <alignment horizontal="center" vertical="center" wrapText="1"/>
    </xf>
    <xf numFmtId="0" fontId="14" fillId="0" borderId="38" xfId="0" applyFont="1" applyBorder="1" applyAlignment="1">
      <alignment vertical="center"/>
    </xf>
    <xf numFmtId="0" fontId="14" fillId="0" borderId="38" xfId="0" quotePrefix="1" applyFont="1" applyBorder="1" applyAlignment="1">
      <alignment horizontal="center" vertical="center"/>
    </xf>
    <xf numFmtId="3" fontId="14" fillId="0" borderId="31" xfId="0" applyNumberFormat="1" applyFont="1" applyBorder="1" applyAlignment="1">
      <alignment horizontal="center"/>
    </xf>
    <xf numFmtId="0" fontId="14" fillId="0" borderId="57" xfId="0" applyFont="1" applyBorder="1" applyAlignment="1">
      <alignment vertical="center"/>
    </xf>
    <xf numFmtId="0" fontId="14" fillId="0" borderId="58" xfId="0" applyFont="1" applyBorder="1" applyAlignment="1">
      <alignment vertical="center"/>
    </xf>
    <xf numFmtId="0" fontId="14" fillId="0" borderId="44" xfId="0" applyFont="1" applyBorder="1" applyAlignment="1">
      <alignment vertical="center"/>
    </xf>
    <xf numFmtId="0" fontId="14" fillId="0" borderId="29" xfId="0" applyFont="1" applyBorder="1" applyAlignment="1">
      <alignment horizontal="center" vertical="center"/>
    </xf>
    <xf numFmtId="0" fontId="14" fillId="0" borderId="29" xfId="0" quotePrefix="1" applyFont="1" applyBorder="1" applyAlignment="1">
      <alignment horizontal="center" vertical="center"/>
    </xf>
    <xf numFmtId="0" fontId="14" fillId="0" borderId="35" xfId="0" applyFont="1" applyBorder="1" applyAlignment="1">
      <alignment vertical="center"/>
    </xf>
    <xf numFmtId="0" fontId="14" fillId="0" borderId="36" xfId="0" applyFont="1" applyBorder="1" applyAlignment="1">
      <alignment vertical="center"/>
    </xf>
    <xf numFmtId="0" fontId="14" fillId="0" borderId="40" xfId="0" applyFont="1" applyBorder="1" applyAlignment="1">
      <alignment vertical="center"/>
    </xf>
    <xf numFmtId="3" fontId="14" fillId="0" borderId="36" xfId="0" applyNumberFormat="1" applyFont="1" applyBorder="1" applyAlignment="1">
      <alignment horizontal="center"/>
    </xf>
    <xf numFmtId="0" fontId="14" fillId="0" borderId="40" xfId="0" applyFont="1" applyBorder="1" applyAlignment="1">
      <alignment horizontal="center" vertical="center"/>
    </xf>
    <xf numFmtId="0" fontId="14" fillId="0" borderId="33" xfId="0" applyFont="1" applyBorder="1" applyAlignment="1">
      <alignment vertical="center"/>
    </xf>
    <xf numFmtId="0" fontId="14" fillId="0" borderId="38" xfId="0" applyFont="1" applyBorder="1" applyAlignment="1">
      <alignment horizontal="center" vertical="center"/>
    </xf>
    <xf numFmtId="0" fontId="14" fillId="0" borderId="57" xfId="0" applyFont="1" applyBorder="1" applyAlignment="1">
      <alignment vertical="top"/>
    </xf>
    <xf numFmtId="0" fontId="14" fillId="0" borderId="58" xfId="0" applyFont="1" applyBorder="1" applyAlignment="1">
      <alignment vertical="top"/>
    </xf>
    <xf numFmtId="0" fontId="14" fillId="0" borderId="44" xfId="0" applyFont="1" applyBorder="1" applyAlignment="1">
      <alignment vertical="top"/>
    </xf>
    <xf numFmtId="0" fontId="14" fillId="0" borderId="35" xfId="0" applyFont="1" applyBorder="1" applyAlignment="1">
      <alignment vertical="top"/>
    </xf>
    <xf numFmtId="0" fontId="14" fillId="0" borderId="36" xfId="0" applyFont="1" applyBorder="1" applyAlignment="1">
      <alignment vertical="top"/>
    </xf>
    <xf numFmtId="0" fontId="14" fillId="0" borderId="40" xfId="0" applyFont="1" applyBorder="1" applyAlignment="1">
      <alignment vertical="top"/>
    </xf>
    <xf numFmtId="0" fontId="14" fillId="0" borderId="44" xfId="0" applyFont="1" applyBorder="1" applyAlignment="1">
      <alignment horizontal="center" vertical="center"/>
    </xf>
    <xf numFmtId="0" fontId="41" fillId="0" borderId="54" xfId="0" applyFont="1" applyBorder="1" applyAlignment="1">
      <alignment horizontal="center" vertical="center"/>
    </xf>
    <xf numFmtId="0" fontId="14" fillId="0" borderId="79" xfId="0" applyFont="1" applyBorder="1" applyAlignment="1">
      <alignment vertical="center"/>
    </xf>
    <xf numFmtId="0" fontId="14" fillId="0" borderId="80" xfId="0" applyFont="1" applyBorder="1" applyAlignment="1">
      <alignment vertical="center"/>
    </xf>
    <xf numFmtId="0" fontId="14" fillId="0" borderId="36" xfId="0" applyFont="1" applyBorder="1" applyAlignment="1">
      <alignment vertical="center" wrapText="1"/>
    </xf>
    <xf numFmtId="0" fontId="14" fillId="0" borderId="40" xfId="0" applyFont="1" applyBorder="1" applyAlignment="1">
      <alignment vertical="center" wrapText="1"/>
    </xf>
    <xf numFmtId="0" fontId="21" fillId="0" borderId="57" xfId="0" applyFont="1" applyBorder="1" applyAlignment="1">
      <alignment vertical="center"/>
    </xf>
    <xf numFmtId="3" fontId="14" fillId="0" borderId="38" xfId="0" applyNumberFormat="1" applyFont="1" applyBorder="1" applyAlignment="1">
      <alignment horizontal="center" vertical="center"/>
    </xf>
    <xf numFmtId="167" fontId="14" fillId="0" borderId="44" xfId="1" applyNumberFormat="1" applyFont="1" applyFill="1" applyBorder="1" applyAlignment="1">
      <alignment vertical="center"/>
    </xf>
    <xf numFmtId="0" fontId="14" fillId="11" borderId="38" xfId="0" applyFont="1" applyFill="1" applyBorder="1" applyAlignment="1">
      <alignment vertical="center" wrapText="1"/>
    </xf>
    <xf numFmtId="0" fontId="14" fillId="11" borderId="40" xfId="0" applyFont="1" applyFill="1" applyBorder="1" applyAlignment="1">
      <alignment vertical="center" wrapText="1"/>
    </xf>
    <xf numFmtId="0" fontId="14" fillId="0" borderId="55" xfId="0" applyFont="1" applyBorder="1" applyAlignment="1">
      <alignment vertical="center" wrapText="1"/>
    </xf>
    <xf numFmtId="0" fontId="14" fillId="0" borderId="31"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8" xfId="0" applyFont="1" applyBorder="1" applyAlignment="1">
      <alignment vertical="center" wrapText="1"/>
    </xf>
    <xf numFmtId="0" fontId="14" fillId="0" borderId="56" xfId="0" applyFont="1" applyBorder="1" applyAlignment="1">
      <alignment vertical="center" wrapText="1"/>
    </xf>
    <xf numFmtId="0" fontId="14" fillId="0" borderId="0" xfId="0" applyFont="1" applyAlignment="1">
      <alignment horizontal="center" vertical="center" wrapText="1"/>
    </xf>
    <xf numFmtId="0" fontId="14" fillId="0" borderId="39" xfId="0" applyFont="1" applyBorder="1" applyAlignment="1">
      <alignment horizontal="center" vertical="center" wrapText="1"/>
    </xf>
    <xf numFmtId="0" fontId="14" fillId="0" borderId="39" xfId="0" applyFont="1" applyBorder="1" applyAlignment="1">
      <alignment vertical="center" wrapText="1"/>
    </xf>
    <xf numFmtId="0" fontId="14" fillId="0" borderId="54" xfId="0" applyFont="1" applyBorder="1" applyAlignment="1">
      <alignment vertical="center" wrapText="1"/>
    </xf>
    <xf numFmtId="0" fontId="14" fillId="0" borderId="40" xfId="0" applyFont="1" applyBorder="1" applyAlignment="1">
      <alignment horizontal="center" vertical="center" wrapText="1"/>
    </xf>
    <xf numFmtId="41" fontId="14" fillId="0" borderId="29" xfId="14" applyFont="1" applyFill="1" applyBorder="1" applyAlignment="1">
      <alignment horizontal="center" vertical="center" wrapText="1"/>
    </xf>
    <xf numFmtId="0" fontId="14" fillId="0" borderId="29" xfId="0" applyFont="1" applyBorder="1" applyAlignment="1">
      <alignment horizontal="center" vertical="center" wrapText="1"/>
    </xf>
    <xf numFmtId="41" fontId="14" fillId="0" borderId="38" xfId="14" applyFont="1" applyFill="1" applyBorder="1" applyAlignment="1">
      <alignment horizontal="center" vertical="center" wrapText="1"/>
    </xf>
    <xf numFmtId="0" fontId="14" fillId="0" borderId="55" xfId="0" applyFont="1" applyBorder="1" applyAlignment="1">
      <alignment horizontal="center" vertical="center" wrapText="1"/>
    </xf>
    <xf numFmtId="3" fontId="14" fillId="0" borderId="29" xfId="0" applyNumberFormat="1" applyFont="1" applyBorder="1" applyAlignment="1">
      <alignment horizontal="center" vertical="center" wrapText="1"/>
    </xf>
    <xf numFmtId="3" fontId="14" fillId="0" borderId="39" xfId="0" applyNumberFormat="1" applyFont="1" applyBorder="1" applyAlignment="1">
      <alignment horizontal="center" vertical="center" wrapText="1"/>
    </xf>
    <xf numFmtId="41" fontId="14" fillId="0" borderId="39" xfId="14" applyFont="1" applyFill="1" applyBorder="1" applyAlignment="1">
      <alignment horizontal="center" vertical="center" wrapText="1"/>
    </xf>
    <xf numFmtId="3" fontId="14" fillId="0" borderId="29" xfId="0" applyNumberFormat="1" applyFont="1" applyBorder="1" applyAlignment="1">
      <alignment horizontal="center" wrapText="1"/>
    </xf>
    <xf numFmtId="0" fontId="14" fillId="0" borderId="29" xfId="0" applyFont="1" applyBorder="1" applyAlignment="1">
      <alignment vertical="center" wrapText="1"/>
    </xf>
    <xf numFmtId="3" fontId="14" fillId="0" borderId="38" xfId="0" applyNumberFormat="1" applyFont="1" applyBorder="1" applyAlignment="1">
      <alignment horizontal="center" vertical="center" wrapText="1"/>
    </xf>
    <xf numFmtId="3" fontId="14" fillId="0" borderId="38" xfId="0" applyNumberFormat="1" applyFont="1" applyBorder="1" applyAlignment="1">
      <alignment horizontal="center" wrapText="1"/>
    </xf>
    <xf numFmtId="41" fontId="21" fillId="0" borderId="38" xfId="14" applyFont="1" applyFill="1" applyBorder="1" applyAlignment="1">
      <alignment horizontal="center" vertical="center" wrapText="1"/>
    </xf>
    <xf numFmtId="41" fontId="21" fillId="0" borderId="44" xfId="14" applyFont="1" applyFill="1" applyBorder="1" applyAlignment="1">
      <alignment horizontal="center" vertical="center" wrapText="1"/>
    </xf>
    <xf numFmtId="41" fontId="14" fillId="0" borderId="44" xfId="14" applyFont="1" applyFill="1" applyBorder="1" applyAlignment="1">
      <alignment horizontal="center" vertical="center" wrapText="1"/>
    </xf>
    <xf numFmtId="3" fontId="14" fillId="0" borderId="44" xfId="0" applyNumberFormat="1" applyFont="1" applyBorder="1" applyAlignment="1">
      <alignment horizontal="center" vertical="center" wrapText="1"/>
    </xf>
    <xf numFmtId="0" fontId="14" fillId="0" borderId="54" xfId="0" applyFont="1" applyBorder="1" applyAlignment="1">
      <alignment horizontal="center" vertical="center" wrapText="1"/>
    </xf>
    <xf numFmtId="41" fontId="14" fillId="0" borderId="40" xfId="14" applyFont="1" applyFill="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0" xfId="0" applyNumberFormat="1" applyFont="1" applyBorder="1" applyAlignment="1">
      <alignment horizontal="center" wrapText="1"/>
    </xf>
    <xf numFmtId="0" fontId="14" fillId="8" borderId="31" xfId="0" applyFont="1" applyFill="1" applyBorder="1" applyAlignment="1">
      <alignment horizontal="center" vertical="center" wrapText="1"/>
    </xf>
    <xf numFmtId="41" fontId="14" fillId="8" borderId="38" xfId="14" applyFont="1" applyFill="1" applyBorder="1" applyAlignment="1">
      <alignment horizontal="center" vertical="center" wrapText="1"/>
    </xf>
    <xf numFmtId="0" fontId="14" fillId="8" borderId="38" xfId="0" applyFont="1" applyFill="1" applyBorder="1" applyAlignment="1">
      <alignment horizontal="center" vertical="center" wrapText="1"/>
    </xf>
    <xf numFmtId="0" fontId="14" fillId="8" borderId="38" xfId="0" applyFont="1" applyFill="1" applyBorder="1" applyAlignment="1">
      <alignment horizontal="center" wrapText="1"/>
    </xf>
    <xf numFmtId="0" fontId="14" fillId="8" borderId="57" xfId="0" applyFont="1" applyFill="1" applyBorder="1" applyAlignment="1">
      <alignment horizontal="center" vertical="center" wrapText="1"/>
    </xf>
    <xf numFmtId="0" fontId="14" fillId="8" borderId="44" xfId="0" applyFont="1" applyFill="1" applyBorder="1" applyAlignment="1">
      <alignment horizontal="center" vertical="center" wrapText="1"/>
    </xf>
    <xf numFmtId="0" fontId="14" fillId="8" borderId="58" xfId="0" applyFont="1" applyFill="1" applyBorder="1" applyAlignment="1">
      <alignment horizontal="center" vertical="center" wrapText="1"/>
    </xf>
    <xf numFmtId="0" fontId="14" fillId="8" borderId="36" xfId="0" applyFont="1" applyFill="1" applyBorder="1" applyAlignment="1">
      <alignment horizontal="center" vertical="center" wrapText="1"/>
    </xf>
    <xf numFmtId="0" fontId="14" fillId="8" borderId="40" xfId="0" applyFont="1" applyFill="1" applyBorder="1" applyAlignment="1">
      <alignment horizontal="center" vertical="center" wrapText="1"/>
    </xf>
    <xf numFmtId="0" fontId="14" fillId="8" borderId="40" xfId="0" applyFont="1" applyFill="1" applyBorder="1" applyAlignment="1">
      <alignment horizontal="center" wrapText="1"/>
    </xf>
    <xf numFmtId="0" fontId="14" fillId="8" borderId="44" xfId="0" applyFont="1" applyFill="1" applyBorder="1" applyAlignment="1">
      <alignment horizontal="center" wrapText="1"/>
    </xf>
    <xf numFmtId="3" fontId="14" fillId="0" borderId="38" xfId="0" applyNumberFormat="1" applyFont="1" applyBorder="1" applyAlignment="1">
      <alignment vertical="center" wrapText="1"/>
    </xf>
    <xf numFmtId="3" fontId="14" fillId="0" borderId="40" xfId="0" applyNumberFormat="1" applyFont="1" applyBorder="1" applyAlignment="1">
      <alignment vertical="center" wrapText="1"/>
    </xf>
    <xf numFmtId="3" fontId="14" fillId="0" borderId="44" xfId="0" applyNumberFormat="1" applyFont="1" applyBorder="1" applyAlignment="1">
      <alignment vertical="center" wrapText="1"/>
    </xf>
    <xf numFmtId="0" fontId="21" fillId="0" borderId="39" xfId="0" applyFont="1" applyBorder="1" applyAlignment="1">
      <alignment vertical="center" wrapText="1"/>
    </xf>
    <xf numFmtId="3" fontId="14" fillId="0" borderId="29" xfId="0" applyNumberFormat="1" applyFont="1" applyBorder="1" applyAlignment="1">
      <alignment vertical="center" wrapText="1"/>
    </xf>
    <xf numFmtId="0" fontId="14" fillId="11" borderId="36" xfId="0" applyFont="1" applyFill="1" applyBorder="1" applyAlignment="1">
      <alignment vertical="center" wrapText="1"/>
    </xf>
    <xf numFmtId="0" fontId="14" fillId="11" borderId="31" xfId="0" applyFont="1" applyFill="1" applyBorder="1" applyAlignment="1">
      <alignment horizontal="center" vertical="center" wrapText="1"/>
    </xf>
    <xf numFmtId="0" fontId="14" fillId="11" borderId="38" xfId="0" applyFont="1" applyFill="1" applyBorder="1" applyAlignment="1">
      <alignment horizontal="center" vertical="center" wrapText="1"/>
    </xf>
    <xf numFmtId="0" fontId="14" fillId="11" borderId="36" xfId="0" applyFont="1" applyFill="1" applyBorder="1" applyAlignment="1">
      <alignment horizontal="center" vertical="center" wrapText="1"/>
    </xf>
    <xf numFmtId="0" fontId="14" fillId="11" borderId="40" xfId="0" applyFont="1" applyFill="1" applyBorder="1" applyAlignment="1">
      <alignment horizontal="center" vertical="center" wrapText="1"/>
    </xf>
    <xf numFmtId="0" fontId="14" fillId="0" borderId="44" xfId="0" applyFont="1" applyBorder="1" applyAlignment="1">
      <alignment vertical="center" wrapText="1"/>
    </xf>
    <xf numFmtId="0" fontId="41" fillId="0" borderId="0" xfId="0" applyFont="1" applyAlignment="1">
      <alignment horizontal="center"/>
    </xf>
    <xf numFmtId="3" fontId="2" fillId="2" borderId="0" xfId="0" applyNumberFormat="1" applyFont="1" applyFill="1" applyAlignment="1">
      <alignment horizontal="center" vertical="center"/>
    </xf>
    <xf numFmtId="0" fontId="0" fillId="2" borderId="0" xfId="0" applyFill="1" applyAlignment="1">
      <alignment horizontal="center" vertical="center"/>
    </xf>
    <xf numFmtId="3" fontId="14" fillId="8" borderId="35" xfId="0" applyNumberFormat="1" applyFont="1" applyFill="1" applyBorder="1" applyAlignment="1">
      <alignment vertical="center"/>
    </xf>
    <xf numFmtId="0" fontId="24" fillId="8" borderId="36" xfId="0" applyFont="1" applyFill="1" applyBorder="1" applyAlignment="1">
      <alignment vertical="center"/>
    </xf>
    <xf numFmtId="3" fontId="14" fillId="8" borderId="36" xfId="0" applyNumberFormat="1" applyFont="1" applyFill="1" applyBorder="1" applyAlignment="1">
      <alignment vertical="center"/>
    </xf>
    <xf numFmtId="0" fontId="24" fillId="8" borderId="40" xfId="0" applyFont="1" applyFill="1" applyBorder="1" applyAlignment="1">
      <alignment vertical="center"/>
    </xf>
    <xf numFmtId="3" fontId="14" fillId="8" borderId="36" xfId="0" applyNumberFormat="1" applyFont="1" applyFill="1" applyBorder="1" applyAlignment="1">
      <alignment vertical="center" wrapText="1"/>
    </xf>
    <xf numFmtId="3" fontId="14" fillId="8" borderId="40" xfId="0" applyNumberFormat="1" applyFont="1" applyFill="1" applyBorder="1" applyAlignment="1">
      <alignment vertical="center" wrapText="1"/>
    </xf>
    <xf numFmtId="3" fontId="2" fillId="0" borderId="0" xfId="0" applyNumberFormat="1" applyFont="1" applyAlignment="1">
      <alignment vertical="center"/>
    </xf>
    <xf numFmtId="0" fontId="14" fillId="0" borderId="33" xfId="6" applyBorder="1"/>
    <xf numFmtId="42" fontId="14" fillId="0" borderId="39" xfId="11" applyFont="1" applyBorder="1"/>
    <xf numFmtId="0" fontId="14" fillId="0" borderId="35" xfId="6" applyBorder="1"/>
    <xf numFmtId="0" fontId="14" fillId="0" borderId="36" xfId="6" applyBorder="1"/>
    <xf numFmtId="3" fontId="14" fillId="0" borderId="36" xfId="6" applyNumberFormat="1" applyBorder="1"/>
    <xf numFmtId="42" fontId="14" fillId="0" borderId="40" xfId="11" applyFont="1" applyBorder="1"/>
    <xf numFmtId="0" fontId="14" fillId="0" borderId="58" xfId="6" applyBorder="1"/>
    <xf numFmtId="3" fontId="14" fillId="0" borderId="39" xfId="6" applyNumberFormat="1" applyBorder="1"/>
    <xf numFmtId="42" fontId="29" fillId="0" borderId="39" xfId="11" applyFont="1" applyBorder="1"/>
    <xf numFmtId="42" fontId="14" fillId="0" borderId="36" xfId="11" applyFont="1" applyBorder="1"/>
    <xf numFmtId="3" fontId="14" fillId="0" borderId="58" xfId="6" applyNumberFormat="1" applyBorder="1"/>
    <xf numFmtId="0" fontId="14" fillId="0" borderId="57" xfId="6" applyBorder="1" applyAlignment="1">
      <alignment vertical="center"/>
    </xf>
    <xf numFmtId="0" fontId="14" fillId="0" borderId="58" xfId="6" applyBorder="1" applyAlignment="1">
      <alignment vertical="center"/>
    </xf>
    <xf numFmtId="3" fontId="14" fillId="0" borderId="44" xfId="6" applyNumberFormat="1" applyBorder="1" applyAlignment="1">
      <alignment vertical="center"/>
    </xf>
    <xf numFmtId="42" fontId="14" fillId="0" borderId="44" xfId="11" applyFont="1" applyBorder="1" applyAlignment="1">
      <alignment vertical="center"/>
    </xf>
    <xf numFmtId="0" fontId="19" fillId="0" borderId="0" xfId="6" applyFont="1" applyAlignment="1">
      <alignment vertical="center"/>
    </xf>
    <xf numFmtId="0" fontId="2" fillId="0" borderId="0" xfId="6" applyFont="1" applyAlignment="1">
      <alignment vertical="center"/>
    </xf>
    <xf numFmtId="3" fontId="2" fillId="0" borderId="0" xfId="6" applyNumberFormat="1" applyFont="1" applyAlignment="1">
      <alignment vertical="center"/>
    </xf>
    <xf numFmtId="42" fontId="14" fillId="0" borderId="58" xfId="11" applyFont="1" applyBorder="1"/>
    <xf numFmtId="175" fontId="14" fillId="0" borderId="39" xfId="11" applyNumberFormat="1" applyFont="1" applyBorder="1"/>
    <xf numFmtId="175" fontId="14" fillId="0" borderId="40" xfId="11" applyNumberFormat="1" applyFont="1" applyBorder="1"/>
    <xf numFmtId="3" fontId="14" fillId="0" borderId="44" xfId="6" applyNumberFormat="1" applyBorder="1" applyAlignment="1">
      <alignment horizontal="center" vertical="center"/>
    </xf>
    <xf numFmtId="42" fontId="14" fillId="0" borderId="58" xfId="11" applyFont="1" applyBorder="1" applyAlignment="1">
      <alignment vertical="center"/>
    </xf>
    <xf numFmtId="0" fontId="2" fillId="0" borderId="56" xfId="6" applyFont="1" applyBorder="1" applyAlignment="1">
      <alignment vertical="center"/>
    </xf>
    <xf numFmtId="42" fontId="14" fillId="0" borderId="44" xfId="11" applyFont="1" applyFill="1" applyBorder="1" applyAlignment="1">
      <alignment vertical="center"/>
    </xf>
    <xf numFmtId="0" fontId="14" fillId="0" borderId="33" xfId="6" applyBorder="1" applyAlignment="1">
      <alignment vertical="center"/>
    </xf>
    <xf numFmtId="42" fontId="14" fillId="0" borderId="0" xfId="11" applyFont="1" applyBorder="1" applyAlignment="1">
      <alignment vertical="center"/>
    </xf>
    <xf numFmtId="0" fontId="14" fillId="0" borderId="39" xfId="6" applyBorder="1" applyAlignment="1">
      <alignment vertical="center"/>
    </xf>
    <xf numFmtId="3" fontId="14" fillId="0" borderId="39" xfId="6" applyNumberFormat="1" applyBorder="1" applyAlignment="1">
      <alignment vertical="center"/>
    </xf>
    <xf numFmtId="42" fontId="14" fillId="0" borderId="39" xfId="11" applyFont="1" applyBorder="1" applyAlignment="1">
      <alignment vertical="center"/>
    </xf>
    <xf numFmtId="0" fontId="14" fillId="0" borderId="35" xfId="6" applyBorder="1" applyAlignment="1">
      <alignment vertical="center"/>
    </xf>
    <xf numFmtId="0" fontId="14" fillId="0" borderId="36" xfId="6" applyBorder="1" applyAlignment="1">
      <alignment vertical="center"/>
    </xf>
    <xf numFmtId="42" fontId="14" fillId="0" borderId="36" xfId="11" applyFont="1" applyBorder="1" applyAlignment="1">
      <alignment vertical="center"/>
    </xf>
    <xf numFmtId="0" fontId="14" fillId="0" borderId="40" xfId="6" applyBorder="1" applyAlignment="1">
      <alignment vertical="center"/>
    </xf>
    <xf numFmtId="3" fontId="14" fillId="0" borderId="40" xfId="6" applyNumberFormat="1" applyBorder="1" applyAlignment="1">
      <alignment vertical="center"/>
    </xf>
    <xf numFmtId="42" fontId="14" fillId="0" borderId="40" xfId="11" applyFont="1" applyBorder="1" applyAlignment="1">
      <alignment vertical="center"/>
    </xf>
    <xf numFmtId="41" fontId="19" fillId="0" borderId="0" xfId="14" applyFont="1" applyAlignment="1">
      <alignment vertical="center"/>
    </xf>
    <xf numFmtId="42" fontId="14" fillId="0" borderId="39" xfId="11" applyFont="1" applyFill="1" applyBorder="1" applyAlignment="1">
      <alignment vertical="center"/>
    </xf>
    <xf numFmtId="42" fontId="14" fillId="0" borderId="40" xfId="11" applyFont="1" applyFill="1" applyBorder="1" applyAlignment="1">
      <alignment vertical="center"/>
    </xf>
    <xf numFmtId="0" fontId="14" fillId="8" borderId="58" xfId="6" applyFill="1" applyBorder="1" applyAlignment="1">
      <alignment vertical="center"/>
    </xf>
    <xf numFmtId="42" fontId="14" fillId="8" borderId="44" xfId="11" applyFont="1" applyFill="1" applyBorder="1" applyAlignment="1">
      <alignment vertical="center"/>
    </xf>
    <xf numFmtId="0" fontId="21" fillId="8" borderId="58" xfId="6" applyFont="1" applyFill="1" applyBorder="1" applyAlignment="1">
      <alignment vertical="center"/>
    </xf>
    <xf numFmtId="3" fontId="14" fillId="8" borderId="58" xfId="6" applyNumberFormat="1" applyFill="1" applyBorder="1" applyAlignment="1">
      <alignment vertical="center"/>
    </xf>
    <xf numFmtId="0" fontId="13" fillId="0" borderId="0" xfId="6" applyFont="1" applyAlignment="1">
      <alignment vertical="center"/>
    </xf>
    <xf numFmtId="0" fontId="14" fillId="8" borderId="57" xfId="6" applyFill="1" applyBorder="1" applyAlignment="1">
      <alignment vertical="center"/>
    </xf>
    <xf numFmtId="3" fontId="14" fillId="0" borderId="38" xfId="6" applyNumberFormat="1" applyBorder="1" applyAlignment="1">
      <alignment vertical="center"/>
    </xf>
    <xf numFmtId="3" fontId="13" fillId="0" borderId="0" xfId="6" applyNumberFormat="1" applyFont="1" applyAlignment="1">
      <alignment vertical="center"/>
    </xf>
    <xf numFmtId="0" fontId="14" fillId="0" borderId="57" xfId="6" applyBorder="1" applyAlignment="1">
      <alignment horizontal="left" vertical="center"/>
    </xf>
    <xf numFmtId="42" fontId="14" fillId="0" borderId="76" xfId="0" applyNumberFormat="1" applyFont="1" applyBorder="1" applyAlignment="1">
      <alignment horizontal="right" wrapText="1"/>
    </xf>
    <xf numFmtId="42" fontId="14" fillId="0" borderId="44" xfId="0" applyNumberFormat="1" applyFont="1" applyBorder="1" applyAlignment="1">
      <alignment horizontal="right" wrapText="1"/>
    </xf>
    <xf numFmtId="42" fontId="14" fillId="0" borderId="29" xfId="0" applyNumberFormat="1" applyFont="1" applyBorder="1" applyAlignment="1">
      <alignment horizontal="right" wrapText="1"/>
    </xf>
    <xf numFmtId="3" fontId="14" fillId="0" borderId="0" xfId="0" applyNumberFormat="1" applyFont="1" applyAlignment="1">
      <alignment horizontal="justify" vertical="top"/>
    </xf>
    <xf numFmtId="3" fontId="14" fillId="4" borderId="0" xfId="0" applyNumberFormat="1" applyFont="1" applyFill="1" applyAlignment="1">
      <alignment vertical="center"/>
    </xf>
    <xf numFmtId="0" fontId="14" fillId="4" borderId="0" xfId="6" applyFill="1"/>
    <xf numFmtId="3" fontId="14" fillId="0" borderId="0" xfId="0" applyNumberFormat="1" applyFont="1" applyAlignment="1">
      <alignment horizontal="right" vertical="center"/>
    </xf>
    <xf numFmtId="3" fontId="14" fillId="0" borderId="0" xfId="0" applyNumberFormat="1" applyFont="1" applyAlignment="1">
      <alignment horizontal="left" vertical="center" wrapText="1"/>
    </xf>
    <xf numFmtId="3" fontId="14" fillId="2" borderId="0" xfId="0" applyNumberFormat="1" applyFont="1" applyFill="1" applyAlignment="1">
      <alignment horizontal="right" vertical="center"/>
    </xf>
    <xf numFmtId="42" fontId="2" fillId="0" borderId="0" xfId="6" applyNumberFormat="1" applyFont="1"/>
    <xf numFmtId="9" fontId="14" fillId="2" borderId="40" xfId="1" applyFont="1" applyFill="1" applyBorder="1" applyAlignment="1">
      <alignment horizontal="right"/>
    </xf>
    <xf numFmtId="3" fontId="14" fillId="8" borderId="41" xfId="0" applyNumberFormat="1" applyFont="1" applyFill="1" applyBorder="1" applyAlignment="1">
      <alignment horizontal="center" vertical="center"/>
    </xf>
    <xf numFmtId="3" fontId="14" fillId="8" borderId="42" xfId="0" applyNumberFormat="1" applyFont="1" applyFill="1" applyBorder="1" applyAlignment="1">
      <alignment horizontal="center" vertical="center"/>
    </xf>
    <xf numFmtId="3" fontId="14" fillId="8" borderId="43" xfId="0" applyNumberFormat="1" applyFont="1" applyFill="1" applyBorder="1" applyAlignment="1">
      <alignment horizontal="center" vertical="center"/>
    </xf>
    <xf numFmtId="3" fontId="14" fillId="8" borderId="52" xfId="0" applyNumberFormat="1" applyFont="1" applyFill="1" applyBorder="1" applyAlignment="1">
      <alignment horizontal="center" vertical="center"/>
    </xf>
    <xf numFmtId="3" fontId="14" fillId="8" borderId="45" xfId="0" applyNumberFormat="1" applyFont="1" applyFill="1" applyBorder="1" applyAlignment="1">
      <alignment horizontal="center" vertical="center"/>
    </xf>
    <xf numFmtId="3" fontId="14" fillId="8" borderId="46" xfId="0" applyNumberFormat="1" applyFont="1" applyFill="1" applyBorder="1" applyAlignment="1">
      <alignment horizontal="center" vertical="center"/>
    </xf>
    <xf numFmtId="3" fontId="14" fillId="0" borderId="0" xfId="0" applyNumberFormat="1" applyFont="1" applyAlignment="1">
      <alignment horizontal="justify" vertical="top" wrapText="1"/>
    </xf>
    <xf numFmtId="3" fontId="14" fillId="8" borderId="57" xfId="0" applyNumberFormat="1" applyFont="1" applyFill="1" applyBorder="1" applyAlignment="1">
      <alignment horizontal="center"/>
    </xf>
    <xf numFmtId="3" fontId="14" fillId="8" borderId="44" xfId="0" applyNumberFormat="1" applyFont="1" applyFill="1" applyBorder="1" applyAlignment="1">
      <alignment horizontal="center"/>
    </xf>
    <xf numFmtId="3" fontId="14" fillId="0" borderId="57" xfId="0" applyNumberFormat="1" applyFont="1" applyBorder="1" applyAlignment="1">
      <alignment horizontal="left" wrapText="1"/>
    </xf>
    <xf numFmtId="3" fontId="14" fillId="0" borderId="58" xfId="0" applyNumberFormat="1" applyFont="1" applyBorder="1" applyAlignment="1">
      <alignment horizontal="left" wrapText="1"/>
    </xf>
    <xf numFmtId="3" fontId="14" fillId="0" borderId="44" xfId="0" applyNumberFormat="1" applyFont="1" applyBorder="1" applyAlignment="1">
      <alignment horizontal="left" wrapText="1"/>
    </xf>
    <xf numFmtId="3" fontId="14" fillId="8" borderId="55" xfId="0" applyNumberFormat="1" applyFont="1" applyFill="1" applyBorder="1" applyAlignment="1">
      <alignment horizontal="center" wrapText="1"/>
    </xf>
    <xf numFmtId="3" fontId="14" fillId="8" borderId="54" xfId="0" applyNumberFormat="1" applyFont="1" applyFill="1" applyBorder="1" applyAlignment="1">
      <alignment horizontal="center" wrapText="1"/>
    </xf>
    <xf numFmtId="3" fontId="14" fillId="0" borderId="0" xfId="0" applyNumberFormat="1" applyFont="1" applyAlignment="1">
      <alignment horizontal="left"/>
    </xf>
    <xf numFmtId="168" fontId="14" fillId="0" borderId="0" xfId="0" applyNumberFormat="1" applyFont="1"/>
    <xf numFmtId="3" fontId="14" fillId="0" borderId="0" xfId="0" applyNumberFormat="1" applyFont="1" applyAlignment="1">
      <alignment horizontal="left" vertical="top" wrapText="1"/>
    </xf>
    <xf numFmtId="3" fontId="14" fillId="0" borderId="0" xfId="0" applyNumberFormat="1" applyFont="1" applyAlignment="1">
      <alignment horizontal="left" vertical="center"/>
    </xf>
    <xf numFmtId="0" fontId="14" fillId="2" borderId="0" xfId="0" applyFont="1" applyFill="1" applyAlignment="1">
      <alignment wrapText="1"/>
    </xf>
    <xf numFmtId="3" fontId="14" fillId="0" borderId="0" xfId="0" applyNumberFormat="1" applyFont="1" applyAlignment="1">
      <alignment vertical="center"/>
    </xf>
    <xf numFmtId="3" fontId="14" fillId="0" borderId="0" xfId="0" applyNumberFormat="1" applyFont="1" applyAlignment="1">
      <alignment horizontal="left" vertical="justify" wrapText="1"/>
    </xf>
    <xf numFmtId="3" fontId="14" fillId="0" borderId="35" xfId="0" applyNumberFormat="1" applyFont="1" applyBorder="1" applyAlignment="1">
      <alignment horizontal="left"/>
    </xf>
    <xf numFmtId="3" fontId="14" fillId="0" borderId="36" xfId="0" applyNumberFormat="1" applyFont="1" applyBorder="1" applyAlignment="1">
      <alignment horizontal="left"/>
    </xf>
    <xf numFmtId="3" fontId="14" fillId="0" borderId="40" xfId="0" applyNumberFormat="1" applyFont="1" applyBorder="1" applyAlignment="1">
      <alignment horizontal="left"/>
    </xf>
    <xf numFmtId="3" fontId="14" fillId="0" borderId="0" xfId="0" applyNumberFormat="1" applyFont="1" applyAlignment="1">
      <alignment wrapText="1"/>
    </xf>
    <xf numFmtId="3" fontId="14" fillId="8" borderId="30" xfId="0" applyNumberFormat="1" applyFont="1" applyFill="1" applyBorder="1" applyAlignment="1">
      <alignment horizontal="center" vertical="center"/>
    </xf>
    <xf numFmtId="3" fontId="14" fillId="8" borderId="31" xfId="0" applyNumberFormat="1" applyFont="1" applyFill="1" applyBorder="1" applyAlignment="1">
      <alignment horizontal="center" vertical="center"/>
    </xf>
    <xf numFmtId="3" fontId="14" fillId="8" borderId="38" xfId="0" applyNumberFormat="1" applyFont="1" applyFill="1" applyBorder="1" applyAlignment="1">
      <alignment horizontal="center" vertical="center"/>
    </xf>
    <xf numFmtId="3" fontId="14" fillId="8" borderId="33" xfId="0" applyNumberFormat="1" applyFont="1" applyFill="1" applyBorder="1" applyAlignment="1">
      <alignment horizontal="center" vertical="center"/>
    </xf>
    <xf numFmtId="3" fontId="14" fillId="8" borderId="0" xfId="0" applyNumberFormat="1" applyFont="1" applyFill="1" applyAlignment="1">
      <alignment horizontal="center" vertical="center"/>
    </xf>
    <xf numFmtId="3" fontId="14" fillId="8" borderId="39" xfId="0" applyNumberFormat="1" applyFont="1" applyFill="1" applyBorder="1" applyAlignment="1">
      <alignment horizontal="center" vertical="center"/>
    </xf>
    <xf numFmtId="3" fontId="14" fillId="8" borderId="35" xfId="0" applyNumberFormat="1" applyFont="1" applyFill="1" applyBorder="1" applyAlignment="1">
      <alignment horizontal="center" vertical="center"/>
    </xf>
    <xf numFmtId="3" fontId="14" fillId="8" borderId="36" xfId="0" applyNumberFormat="1" applyFont="1" applyFill="1" applyBorder="1" applyAlignment="1">
      <alignment horizontal="center" vertical="center"/>
    </xf>
    <xf numFmtId="3" fontId="14" fillId="8" borderId="40" xfId="0" applyNumberFormat="1" applyFont="1" applyFill="1" applyBorder="1" applyAlignment="1">
      <alignment horizontal="center" vertical="center"/>
    </xf>
    <xf numFmtId="3" fontId="14" fillId="8" borderId="47" xfId="0" applyNumberFormat="1" applyFont="1" applyFill="1" applyBorder="1" applyAlignment="1">
      <alignment horizontal="center" vertical="center"/>
    </xf>
    <xf numFmtId="3" fontId="14" fillId="8" borderId="52" xfId="0" applyNumberFormat="1" applyFont="1" applyFill="1" applyBorder="1" applyAlignment="1">
      <alignment horizontal="center" vertical="center" wrapText="1"/>
    </xf>
    <xf numFmtId="3" fontId="14" fillId="8" borderId="46" xfId="0" applyNumberFormat="1" applyFont="1" applyFill="1" applyBorder="1" applyAlignment="1">
      <alignment horizontal="center" vertical="center" wrapText="1"/>
    </xf>
    <xf numFmtId="3" fontId="14" fillId="8" borderId="50" xfId="0" applyNumberFormat="1" applyFont="1" applyFill="1" applyBorder="1" applyAlignment="1">
      <alignment horizontal="center" vertical="center"/>
    </xf>
    <xf numFmtId="3" fontId="14" fillId="8" borderId="48" xfId="0" applyNumberFormat="1" applyFont="1" applyFill="1" applyBorder="1" applyAlignment="1">
      <alignment horizontal="center" vertical="center"/>
    </xf>
    <xf numFmtId="3" fontId="14" fillId="8" borderId="49" xfId="0" applyNumberFormat="1" applyFont="1" applyFill="1" applyBorder="1" applyAlignment="1">
      <alignment horizontal="center" vertical="center"/>
    </xf>
    <xf numFmtId="3" fontId="14" fillId="8" borderId="50" xfId="0" applyNumberFormat="1" applyFont="1" applyFill="1" applyBorder="1" applyAlignment="1">
      <alignment horizontal="center" vertical="center" wrapText="1"/>
    </xf>
    <xf numFmtId="3" fontId="14" fillId="8" borderId="49" xfId="0" applyNumberFormat="1" applyFont="1" applyFill="1" applyBorder="1" applyAlignment="1">
      <alignment horizontal="center" vertical="center" wrapText="1"/>
    </xf>
    <xf numFmtId="3" fontId="14" fillId="8" borderId="41" xfId="0" applyNumberFormat="1" applyFont="1" applyFill="1" applyBorder="1" applyAlignment="1">
      <alignment horizontal="center" vertical="center" wrapText="1"/>
    </xf>
    <xf numFmtId="3" fontId="14" fillId="8" borderId="42" xfId="0" applyNumberFormat="1" applyFont="1" applyFill="1" applyBorder="1" applyAlignment="1">
      <alignment horizontal="center" vertical="center" wrapText="1"/>
    </xf>
    <xf numFmtId="3" fontId="14" fillId="8" borderId="43" xfId="0" applyNumberFormat="1" applyFont="1" applyFill="1" applyBorder="1" applyAlignment="1">
      <alignment horizontal="center" vertical="center" wrapText="1"/>
    </xf>
    <xf numFmtId="0" fontId="14" fillId="0" borderId="0" xfId="6"/>
    <xf numFmtId="0" fontId="14" fillId="0" borderId="39" xfId="6" applyBorder="1"/>
    <xf numFmtId="0" fontId="14" fillId="0" borderId="36" xfId="6" applyBorder="1"/>
    <xf numFmtId="0" fontId="14" fillId="0" borderId="40" xfId="6" applyBorder="1"/>
    <xf numFmtId="0" fontId="14" fillId="0" borderId="0" xfId="6" applyAlignment="1">
      <alignment vertical="center"/>
    </xf>
    <xf numFmtId="0" fontId="14" fillId="0" borderId="39" xfId="6" applyBorder="1" applyAlignment="1">
      <alignment vertical="center"/>
    </xf>
    <xf numFmtId="0" fontId="14" fillId="0" borderId="36" xfId="6" applyBorder="1" applyAlignment="1">
      <alignment vertical="center"/>
    </xf>
    <xf numFmtId="0" fontId="14" fillId="0" borderId="40" xfId="6" applyBorder="1" applyAlignment="1">
      <alignment vertical="center"/>
    </xf>
    <xf numFmtId="168" fontId="14" fillId="8" borderId="57" xfId="0" applyNumberFormat="1" applyFont="1" applyFill="1" applyBorder="1" applyAlignment="1">
      <alignment horizontal="center" wrapText="1"/>
    </xf>
    <xf numFmtId="168" fontId="14" fillId="8" borderId="58" xfId="0" applyNumberFormat="1" applyFont="1" applyFill="1" applyBorder="1" applyAlignment="1">
      <alignment horizontal="center" wrapText="1"/>
    </xf>
    <xf numFmtId="168" fontId="14" fillId="8" borderId="44" xfId="0" applyNumberFormat="1" applyFont="1" applyFill="1" applyBorder="1" applyAlignment="1">
      <alignment horizontal="center" wrapText="1"/>
    </xf>
    <xf numFmtId="168" fontId="14" fillId="8" borderId="30" xfId="0" applyNumberFormat="1" applyFont="1" applyFill="1" applyBorder="1" applyAlignment="1">
      <alignment horizontal="center" vertical="center" wrapText="1"/>
    </xf>
    <xf numFmtId="168" fontId="14" fillId="8" borderId="38" xfId="0" applyNumberFormat="1" applyFont="1" applyFill="1" applyBorder="1" applyAlignment="1">
      <alignment horizontal="center" vertical="center" wrapText="1"/>
    </xf>
    <xf numFmtId="168" fontId="14" fillId="8" borderId="35" xfId="0" applyNumberFormat="1" applyFont="1" applyFill="1" applyBorder="1" applyAlignment="1">
      <alignment horizontal="center" vertical="center" wrapText="1"/>
    </xf>
    <xf numFmtId="168" fontId="14" fillId="8" borderId="40" xfId="0" applyNumberFormat="1" applyFont="1" applyFill="1" applyBorder="1" applyAlignment="1">
      <alignment horizontal="center" vertical="center" wrapText="1"/>
    </xf>
    <xf numFmtId="168" fontId="48" fillId="8" borderId="57" xfId="0" applyNumberFormat="1" applyFont="1" applyFill="1" applyBorder="1" applyAlignment="1">
      <alignment horizontal="center" vertical="center" wrapText="1"/>
    </xf>
    <xf numFmtId="168" fontId="48" fillId="8" borderId="58" xfId="0" applyNumberFormat="1" applyFont="1" applyFill="1" applyBorder="1" applyAlignment="1">
      <alignment horizontal="center" vertical="center" wrapText="1"/>
    </xf>
    <xf numFmtId="168" fontId="48" fillId="8" borderId="44" xfId="0" applyNumberFormat="1" applyFont="1" applyFill="1" applyBorder="1" applyAlignment="1">
      <alignment horizontal="center" vertical="center" wrapText="1"/>
    </xf>
    <xf numFmtId="168" fontId="14" fillId="0" borderId="33" xfId="0" applyNumberFormat="1" applyFont="1" applyBorder="1" applyAlignment="1">
      <alignment horizontal="left" vertical="center" wrapText="1"/>
    </xf>
    <xf numFmtId="168" fontId="14" fillId="0" borderId="0" xfId="0" applyNumberFormat="1" applyFont="1" applyAlignment="1">
      <alignment horizontal="left" vertical="center" wrapText="1"/>
    </xf>
    <xf numFmtId="168" fontId="14" fillId="0" borderId="39" xfId="0" applyNumberFormat="1" applyFont="1" applyBorder="1" applyAlignment="1">
      <alignment horizontal="left" vertical="center" wrapText="1"/>
    </xf>
    <xf numFmtId="168" fontId="14" fillId="0" borderId="35" xfId="0" applyNumberFormat="1" applyFont="1" applyBorder="1" applyAlignment="1">
      <alignment horizontal="left" vertical="center" wrapText="1"/>
    </xf>
    <xf numFmtId="168" fontId="14" fillId="0" borderId="36" xfId="0" applyNumberFormat="1" applyFont="1" applyBorder="1" applyAlignment="1">
      <alignment horizontal="left" vertical="center" wrapText="1"/>
    </xf>
    <xf numFmtId="168" fontId="14" fillId="0" borderId="40" xfId="0" applyNumberFormat="1" applyFont="1" applyBorder="1" applyAlignment="1">
      <alignment horizontal="left" vertical="center" wrapText="1"/>
    </xf>
    <xf numFmtId="168" fontId="14" fillId="0" borderId="39" xfId="0" applyNumberFormat="1" applyFont="1" applyBorder="1" applyAlignment="1">
      <alignment horizontal="right" vertical="center" wrapText="1"/>
    </xf>
    <xf numFmtId="168" fontId="14" fillId="0" borderId="40" xfId="0" applyNumberFormat="1" applyFont="1" applyBorder="1" applyAlignment="1">
      <alignment horizontal="right" vertical="center" wrapText="1"/>
    </xf>
    <xf numFmtId="168" fontId="48" fillId="8" borderId="30" xfId="0" applyNumberFormat="1" applyFont="1" applyFill="1" applyBorder="1" applyAlignment="1">
      <alignment horizontal="center" vertical="center"/>
    </xf>
    <xf numFmtId="168" fontId="48" fillId="8" borderId="31" xfId="0" applyNumberFormat="1" applyFont="1" applyFill="1" applyBorder="1" applyAlignment="1">
      <alignment horizontal="center" vertical="center"/>
    </xf>
    <xf numFmtId="168" fontId="48" fillId="8" borderId="38" xfId="0" applyNumberFormat="1" applyFont="1" applyFill="1" applyBorder="1" applyAlignment="1">
      <alignment horizontal="center" vertical="center"/>
    </xf>
    <xf numFmtId="168" fontId="48" fillId="8" borderId="35" xfId="0" applyNumberFormat="1" applyFont="1" applyFill="1" applyBorder="1" applyAlignment="1">
      <alignment horizontal="center" vertical="center"/>
    </xf>
    <xf numFmtId="168" fontId="48" fillId="8" borderId="36" xfId="0" applyNumberFormat="1" applyFont="1" applyFill="1" applyBorder="1" applyAlignment="1">
      <alignment horizontal="center" vertical="center"/>
    </xf>
    <xf numFmtId="168" fontId="48" fillId="8" borderId="40" xfId="0" applyNumberFormat="1" applyFont="1" applyFill="1" applyBorder="1" applyAlignment="1">
      <alignment horizontal="center" vertical="center"/>
    </xf>
    <xf numFmtId="168" fontId="48" fillId="8" borderId="38" xfId="0" applyNumberFormat="1" applyFont="1" applyFill="1" applyBorder="1" applyAlignment="1">
      <alignment horizontal="center" vertical="center" wrapText="1"/>
    </xf>
    <xf numFmtId="168" fontId="48" fillId="8" borderId="40" xfId="0" applyNumberFormat="1" applyFont="1" applyFill="1" applyBorder="1" applyAlignment="1">
      <alignment horizontal="center" vertical="center" wrapText="1"/>
    </xf>
    <xf numFmtId="3" fontId="48" fillId="8" borderId="36" xfId="0" applyNumberFormat="1" applyFont="1" applyFill="1" applyBorder="1" applyAlignment="1">
      <alignment horizontal="center" vertical="center"/>
    </xf>
    <xf numFmtId="168" fontId="14" fillId="0" borderId="57" xfId="0" applyNumberFormat="1" applyFont="1" applyBorder="1" applyAlignment="1">
      <alignment horizontal="left" vertical="center"/>
    </xf>
    <xf numFmtId="168" fontId="14" fillId="0" borderId="58" xfId="0" applyNumberFormat="1" applyFont="1" applyBorder="1" applyAlignment="1">
      <alignment horizontal="left" vertical="center"/>
    </xf>
    <xf numFmtId="168" fontId="14" fillId="0" borderId="44" xfId="0" applyNumberFormat="1" applyFont="1" applyBorder="1" applyAlignment="1">
      <alignment horizontal="left" vertical="center"/>
    </xf>
    <xf numFmtId="168" fontId="14" fillId="0" borderId="65" xfId="0" applyNumberFormat="1" applyFont="1" applyBorder="1" applyAlignment="1">
      <alignment horizontal="left" vertical="center"/>
    </xf>
    <xf numFmtId="168" fontId="14" fillId="0" borderId="37" xfId="0" applyNumberFormat="1" applyFont="1" applyBorder="1" applyAlignment="1">
      <alignment horizontal="left" vertical="center"/>
    </xf>
    <xf numFmtId="168" fontId="14" fillId="0" borderId="51" xfId="0" applyNumberFormat="1" applyFont="1" applyBorder="1" applyAlignment="1">
      <alignment horizontal="left" vertical="center"/>
    </xf>
    <xf numFmtId="3" fontId="14" fillId="8" borderId="45" xfId="0" applyNumberFormat="1" applyFont="1" applyFill="1" applyBorder="1" applyAlignment="1">
      <alignment horizontal="center" vertical="center" wrapText="1"/>
    </xf>
    <xf numFmtId="3" fontId="14" fillId="8" borderId="68" xfId="0" applyNumberFormat="1" applyFont="1" applyFill="1" applyBorder="1" applyAlignment="1">
      <alignment horizontal="center" vertical="center"/>
    </xf>
    <xf numFmtId="3" fontId="14" fillId="8" borderId="69" xfId="0" applyNumberFormat="1" applyFont="1" applyFill="1" applyBorder="1" applyAlignment="1">
      <alignment horizontal="center" vertical="center"/>
    </xf>
    <xf numFmtId="3" fontId="14" fillId="8" borderId="70" xfId="0" applyNumberFormat="1" applyFont="1" applyFill="1" applyBorder="1" applyAlignment="1">
      <alignment horizontal="center" vertical="center"/>
    </xf>
    <xf numFmtId="3" fontId="14" fillId="8" borderId="64" xfId="0" applyNumberFormat="1" applyFont="1" applyFill="1" applyBorder="1" applyAlignment="1">
      <alignment horizontal="center" vertical="center"/>
    </xf>
    <xf numFmtId="3" fontId="14" fillId="8" borderId="6" xfId="0" applyNumberFormat="1" applyFont="1" applyFill="1" applyBorder="1" applyAlignment="1">
      <alignment horizontal="center" vertical="center"/>
    </xf>
    <xf numFmtId="3" fontId="14" fillId="8" borderId="11" xfId="0" applyNumberFormat="1" applyFont="1" applyFill="1" applyBorder="1" applyAlignment="1">
      <alignment horizontal="center" vertical="center"/>
    </xf>
    <xf numFmtId="3" fontId="14" fillId="8" borderId="65" xfId="0" applyNumberFormat="1" applyFont="1" applyFill="1" applyBorder="1" applyAlignment="1">
      <alignment horizontal="center" vertical="center"/>
    </xf>
    <xf numFmtId="3" fontId="14" fillId="8" borderId="37" xfId="0" applyNumberFormat="1" applyFont="1" applyFill="1" applyBorder="1" applyAlignment="1">
      <alignment horizontal="center" vertical="center"/>
    </xf>
    <xf numFmtId="3" fontId="14" fillId="8" borderId="51" xfId="0" applyNumberFormat="1" applyFont="1" applyFill="1" applyBorder="1" applyAlignment="1">
      <alignment horizontal="center" vertical="center"/>
    </xf>
    <xf numFmtId="3" fontId="14" fillId="8" borderId="53" xfId="0" applyNumberFormat="1" applyFont="1" applyFill="1" applyBorder="1" applyAlignment="1">
      <alignment horizontal="center" vertical="center" wrapText="1"/>
    </xf>
    <xf numFmtId="3" fontId="14" fillId="8" borderId="55" xfId="0" applyNumberFormat="1" applyFont="1" applyFill="1" applyBorder="1" applyAlignment="1">
      <alignment horizontal="center" vertical="center"/>
    </xf>
    <xf numFmtId="3" fontId="14" fillId="8" borderId="56" xfId="0" applyNumberFormat="1" applyFont="1" applyFill="1" applyBorder="1" applyAlignment="1">
      <alignment horizontal="center" vertical="center"/>
    </xf>
    <xf numFmtId="3" fontId="14" fillId="8" borderId="54" xfId="0" applyNumberFormat="1" applyFont="1" applyFill="1" applyBorder="1" applyAlignment="1">
      <alignment horizontal="center" vertical="center"/>
    </xf>
    <xf numFmtId="3" fontId="14" fillId="8" borderId="66" xfId="0" applyNumberFormat="1" applyFont="1" applyFill="1" applyBorder="1" applyAlignment="1">
      <alignment horizontal="center" vertical="center"/>
    </xf>
    <xf numFmtId="3" fontId="14" fillId="8" borderId="3" xfId="0" applyNumberFormat="1" applyFont="1" applyFill="1" applyBorder="1" applyAlignment="1">
      <alignment horizontal="center" vertical="center"/>
    </xf>
    <xf numFmtId="3" fontId="14" fillId="8" borderId="34" xfId="0" applyNumberFormat="1" applyFont="1" applyFill="1" applyBorder="1" applyAlignment="1">
      <alignment horizontal="center" vertical="center"/>
    </xf>
    <xf numFmtId="3" fontId="14" fillId="8" borderId="32" xfId="0" applyNumberFormat="1" applyFont="1" applyFill="1" applyBorder="1" applyAlignment="1">
      <alignment horizontal="center" vertical="center"/>
    </xf>
    <xf numFmtId="3" fontId="14" fillId="8" borderId="63" xfId="0" applyNumberFormat="1" applyFont="1" applyFill="1" applyBorder="1" applyAlignment="1">
      <alignment horizontal="center" vertical="center"/>
    </xf>
    <xf numFmtId="3" fontId="14" fillId="8" borderId="38" xfId="0" applyNumberFormat="1" applyFont="1" applyFill="1" applyBorder="1" applyAlignment="1">
      <alignment horizontal="center" vertical="center" wrapText="1"/>
    </xf>
    <xf numFmtId="3" fontId="14" fillId="8" borderId="39" xfId="0" applyNumberFormat="1" applyFont="1" applyFill="1" applyBorder="1" applyAlignment="1">
      <alignment horizontal="center" vertical="center" wrapText="1"/>
    </xf>
    <xf numFmtId="3" fontId="14" fillId="8" borderId="40" xfId="0" applyNumberFormat="1" applyFont="1" applyFill="1" applyBorder="1" applyAlignment="1">
      <alignment horizontal="center" vertical="center" wrapText="1"/>
    </xf>
    <xf numFmtId="3" fontId="14" fillId="8" borderId="57" xfId="0" applyNumberFormat="1" applyFont="1" applyFill="1" applyBorder="1" applyAlignment="1">
      <alignment horizontal="center" vertical="center" wrapText="1"/>
    </xf>
    <xf numFmtId="3" fontId="14" fillId="8" borderId="58" xfId="0" applyNumberFormat="1" applyFont="1" applyFill="1" applyBorder="1" applyAlignment="1">
      <alignment horizontal="center" vertical="center" wrapText="1"/>
    </xf>
    <xf numFmtId="3" fontId="14" fillId="8" borderId="44" xfId="0" applyNumberFormat="1" applyFont="1" applyFill="1" applyBorder="1" applyAlignment="1">
      <alignment horizontal="center" vertical="center" wrapText="1"/>
    </xf>
    <xf numFmtId="3" fontId="14" fillId="8" borderId="36" xfId="0" applyNumberFormat="1" applyFont="1" applyFill="1" applyBorder="1" applyAlignment="1">
      <alignment horizontal="center" vertical="center" wrapText="1"/>
    </xf>
    <xf numFmtId="3" fontId="14" fillId="8" borderId="30" xfId="0" applyNumberFormat="1" applyFont="1" applyFill="1" applyBorder="1" applyAlignment="1">
      <alignment horizontal="center" vertical="center" wrapText="1"/>
    </xf>
    <xf numFmtId="3" fontId="14" fillId="8" borderId="31" xfId="0" applyNumberFormat="1" applyFont="1" applyFill="1" applyBorder="1" applyAlignment="1">
      <alignment horizontal="center" vertical="center" wrapText="1"/>
    </xf>
    <xf numFmtId="3" fontId="14" fillId="8" borderId="33" xfId="0" applyNumberFormat="1" applyFont="1" applyFill="1" applyBorder="1" applyAlignment="1">
      <alignment horizontal="center" vertical="center" wrapText="1"/>
    </xf>
    <xf numFmtId="3" fontId="14" fillId="8" borderId="0" xfId="0" applyNumberFormat="1" applyFont="1" applyFill="1" applyAlignment="1">
      <alignment horizontal="center" vertical="center" wrapText="1"/>
    </xf>
    <xf numFmtId="3" fontId="14" fillId="8" borderId="35" xfId="0" applyNumberFormat="1" applyFont="1" applyFill="1" applyBorder="1" applyAlignment="1">
      <alignment horizontal="center" vertical="center" wrapText="1"/>
    </xf>
    <xf numFmtId="3" fontId="14" fillId="8" borderId="62" xfId="0" applyNumberFormat="1" applyFont="1" applyFill="1" applyBorder="1" applyAlignment="1">
      <alignment horizontal="center" vertical="center" wrapText="1"/>
    </xf>
    <xf numFmtId="3" fontId="14" fillId="8" borderId="48" xfId="0" applyNumberFormat="1" applyFont="1" applyFill="1" applyBorder="1" applyAlignment="1">
      <alignment horizontal="center" vertical="center" wrapText="1"/>
    </xf>
    <xf numFmtId="166" fontId="14" fillId="8" borderId="56" xfId="0" applyNumberFormat="1" applyFont="1" applyFill="1" applyBorder="1" applyAlignment="1">
      <alignment horizontal="center" vertical="center" wrapText="1"/>
    </xf>
    <xf numFmtId="166" fontId="14" fillId="8" borderId="54" xfId="0" applyNumberFormat="1" applyFont="1" applyFill="1" applyBorder="1" applyAlignment="1">
      <alignment horizontal="center" vertical="center" wrapText="1"/>
    </xf>
    <xf numFmtId="0" fontId="14" fillId="0" borderId="0" xfId="0" applyFont="1" applyAlignment="1">
      <alignment horizontal="left" vertical="center" wrapText="1"/>
    </xf>
    <xf numFmtId="0" fontId="14" fillId="0" borderId="39" xfId="0" applyFont="1" applyBorder="1" applyAlignment="1">
      <alignment horizontal="left" vertical="center" wrapText="1"/>
    </xf>
    <xf numFmtId="0" fontId="24" fillId="0" borderId="0" xfId="0" applyFont="1" applyAlignment="1">
      <alignment horizontal="left" vertical="center"/>
    </xf>
    <xf numFmtId="0" fontId="24" fillId="0" borderId="39" xfId="0" applyFont="1" applyBorder="1" applyAlignment="1">
      <alignment horizontal="left" vertical="center"/>
    </xf>
    <xf numFmtId="168" fontId="50" fillId="8" borderId="57" xfId="0" applyNumberFormat="1" applyFont="1" applyFill="1" applyBorder="1" applyAlignment="1">
      <alignment horizontal="center" vertical="center" wrapText="1"/>
    </xf>
    <xf numFmtId="168" fontId="50" fillId="8" borderId="58" xfId="0" applyNumberFormat="1" applyFont="1" applyFill="1" applyBorder="1" applyAlignment="1">
      <alignment horizontal="center" vertical="center" wrapText="1"/>
    </xf>
    <xf numFmtId="168" fontId="50" fillId="8" borderId="44" xfId="0" applyNumberFormat="1" applyFont="1" applyFill="1" applyBorder="1" applyAlignment="1">
      <alignment horizontal="center" vertical="center" wrapText="1"/>
    </xf>
    <xf numFmtId="0" fontId="24" fillId="0" borderId="0" xfId="0" applyFont="1" applyAlignment="1">
      <alignment horizontal="left"/>
    </xf>
    <xf numFmtId="0" fontId="24" fillId="0" borderId="39" xfId="0" applyFont="1" applyBorder="1" applyAlignment="1">
      <alignment horizontal="left"/>
    </xf>
    <xf numFmtId="0" fontId="24" fillId="0" borderId="36" xfId="0" applyFont="1" applyBorder="1" applyAlignment="1">
      <alignment horizontal="left" vertical="center"/>
    </xf>
    <xf numFmtId="0" fontId="24" fillId="0" borderId="40" xfId="0" applyFont="1" applyBorder="1" applyAlignment="1">
      <alignment horizontal="left" vertical="center"/>
    </xf>
    <xf numFmtId="3" fontId="24" fillId="0" borderId="0" xfId="0" applyNumberFormat="1" applyFont="1" applyAlignment="1">
      <alignment horizontal="left" vertical="center"/>
    </xf>
    <xf numFmtId="3" fontId="24" fillId="0" borderId="39" xfId="0" applyNumberFormat="1" applyFont="1" applyBorder="1" applyAlignment="1">
      <alignment horizontal="left" vertical="center"/>
    </xf>
    <xf numFmtId="3" fontId="24" fillId="0" borderId="71" xfId="0" applyNumberFormat="1" applyFont="1" applyBorder="1" applyAlignment="1">
      <alignment horizontal="left" vertical="center"/>
    </xf>
    <xf numFmtId="3" fontId="24" fillId="0" borderId="72" xfId="0" applyNumberFormat="1" applyFont="1" applyBorder="1" applyAlignment="1">
      <alignment horizontal="left" vertical="center"/>
    </xf>
    <xf numFmtId="3" fontId="14" fillId="0" borderId="30" xfId="0" applyNumberFormat="1" applyFont="1" applyBorder="1"/>
    <xf numFmtId="3" fontId="14" fillId="0" borderId="31" xfId="0" applyNumberFormat="1" applyFont="1" applyBorder="1"/>
    <xf numFmtId="3" fontId="14" fillId="0" borderId="38" xfId="0" applyNumberFormat="1" applyFont="1" applyBorder="1"/>
    <xf numFmtId="3" fontId="14" fillId="0" borderId="57" xfId="0" applyNumberFormat="1" applyFont="1" applyBorder="1"/>
    <xf numFmtId="3" fontId="14" fillId="0" borderId="58" xfId="0" applyNumberFormat="1" applyFont="1" applyBorder="1"/>
    <xf numFmtId="3" fontId="14" fillId="0" borderId="44" xfId="0" applyNumberFormat="1" applyFont="1" applyBorder="1"/>
    <xf numFmtId="3" fontId="14" fillId="0" borderId="60" xfId="0" applyNumberFormat="1" applyFont="1" applyBorder="1"/>
    <xf numFmtId="3" fontId="14" fillId="0" borderId="28" xfId="0" applyNumberFormat="1" applyFont="1" applyBorder="1"/>
    <xf numFmtId="3" fontId="14" fillId="0" borderId="61" xfId="0" applyNumberFormat="1" applyFont="1" applyBorder="1"/>
    <xf numFmtId="3" fontId="14" fillId="0" borderId="35" xfId="0" applyNumberFormat="1" applyFont="1" applyBorder="1"/>
    <xf numFmtId="3" fontId="14" fillId="0" borderId="36" xfId="0" applyNumberFormat="1" applyFont="1" applyBorder="1"/>
    <xf numFmtId="3" fontId="14" fillId="0" borderId="40" xfId="0" applyNumberFormat="1" applyFont="1" applyBorder="1"/>
    <xf numFmtId="3" fontId="48" fillId="8" borderId="57" xfId="0" applyNumberFormat="1" applyFont="1" applyFill="1" applyBorder="1" applyAlignment="1">
      <alignment horizontal="center" vertical="center"/>
    </xf>
    <xf numFmtId="3" fontId="48" fillId="8" borderId="58" xfId="0" applyNumberFormat="1" applyFont="1" applyFill="1" applyBorder="1" applyAlignment="1">
      <alignment horizontal="center" vertical="center"/>
    </xf>
    <xf numFmtId="3" fontId="48" fillId="8" borderId="44" xfId="0" applyNumberFormat="1" applyFont="1" applyFill="1" applyBorder="1" applyAlignment="1">
      <alignment horizontal="center" vertical="center"/>
    </xf>
    <xf numFmtId="0" fontId="21" fillId="0" borderId="5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8" xfId="0" applyFont="1" applyBorder="1" applyAlignment="1">
      <alignment horizontal="center" vertical="center"/>
    </xf>
    <xf numFmtId="0" fontId="44" fillId="9" borderId="31" xfId="0" applyFont="1" applyFill="1" applyBorder="1" applyAlignment="1">
      <alignment horizontal="center" vertical="center" wrapText="1"/>
    </xf>
    <xf numFmtId="0" fontId="44" fillId="9" borderId="38" xfId="0" applyFont="1" applyFill="1" applyBorder="1" applyAlignment="1">
      <alignment horizontal="center" vertical="center" wrapText="1"/>
    </xf>
    <xf numFmtId="0" fontId="44" fillId="9" borderId="36" xfId="0" applyFont="1" applyFill="1" applyBorder="1" applyAlignment="1">
      <alignment horizontal="center" vertical="center" wrapText="1"/>
    </xf>
    <xf numFmtId="0" fontId="44" fillId="9" borderId="40" xfId="0" applyFont="1" applyFill="1" applyBorder="1" applyAlignment="1">
      <alignment horizontal="center" vertical="center" wrapText="1"/>
    </xf>
    <xf numFmtId="3" fontId="21" fillId="0" borderId="33" xfId="0" applyNumberFormat="1" applyFont="1" applyBorder="1" applyAlignment="1">
      <alignment horizontal="center"/>
    </xf>
    <xf numFmtId="3" fontId="21" fillId="0" borderId="0" xfId="0" applyNumberFormat="1" applyFont="1" applyAlignment="1">
      <alignment horizontal="center"/>
    </xf>
    <xf numFmtId="3" fontId="21" fillId="0" borderId="39" xfId="0" applyNumberFormat="1" applyFont="1" applyBorder="1" applyAlignment="1">
      <alignment horizontal="center"/>
    </xf>
    <xf numFmtId="3" fontId="21" fillId="0" borderId="30" xfId="0" applyNumberFormat="1" applyFont="1" applyBorder="1" applyAlignment="1">
      <alignment horizontal="center"/>
    </xf>
    <xf numFmtId="3" fontId="21" fillId="0" borderId="31" xfId="0" applyNumberFormat="1" applyFont="1" applyBorder="1" applyAlignment="1">
      <alignment horizontal="center"/>
    </xf>
    <xf numFmtId="3" fontId="21" fillId="0" borderId="38" xfId="0" applyNumberFormat="1" applyFont="1" applyBorder="1" applyAlignment="1">
      <alignment horizontal="center"/>
    </xf>
    <xf numFmtId="3" fontId="14" fillId="0" borderId="30" xfId="0" applyNumberFormat="1" applyFont="1" applyBorder="1" applyAlignment="1">
      <alignment horizontal="center"/>
    </xf>
    <xf numFmtId="3" fontId="14" fillId="0" borderId="31" xfId="0" applyNumberFormat="1" applyFont="1" applyBorder="1" applyAlignment="1">
      <alignment horizontal="center"/>
    </xf>
    <xf numFmtId="3" fontId="14" fillId="0" borderId="38" xfId="0" applyNumberFormat="1" applyFont="1" applyBorder="1" applyAlignment="1">
      <alignment horizontal="center"/>
    </xf>
    <xf numFmtId="3" fontId="21" fillId="0" borderId="57" xfId="0" applyNumberFormat="1" applyFont="1" applyBorder="1" applyAlignment="1">
      <alignment horizontal="center"/>
    </xf>
    <xf numFmtId="3" fontId="21" fillId="0" borderId="58" xfId="0" applyNumberFormat="1" applyFont="1" applyBorder="1" applyAlignment="1">
      <alignment horizontal="center"/>
    </xf>
    <xf numFmtId="3" fontId="21" fillId="0" borderId="44" xfId="0" applyNumberFormat="1" applyFont="1" applyBorder="1" applyAlignment="1">
      <alignment horizontal="center"/>
    </xf>
    <xf numFmtId="3" fontId="14" fillId="0" borderId="35" xfId="0" applyNumberFormat="1" applyFont="1" applyBorder="1" applyAlignment="1">
      <alignment horizontal="center"/>
    </xf>
    <xf numFmtId="3" fontId="14" fillId="0" borderId="36" xfId="0" applyNumberFormat="1" applyFont="1" applyBorder="1" applyAlignment="1">
      <alignment horizontal="center"/>
    </xf>
    <xf numFmtId="3" fontId="14" fillId="0" borderId="40" xfId="0" applyNumberFormat="1" applyFont="1" applyBorder="1" applyAlignment="1">
      <alignment horizontal="center"/>
    </xf>
    <xf numFmtId="3" fontId="14" fillId="0" borderId="33" xfId="0" applyNumberFormat="1" applyFont="1" applyBorder="1" applyAlignment="1">
      <alignment horizontal="center"/>
    </xf>
    <xf numFmtId="3" fontId="14" fillId="0" borderId="0" xfId="0" applyNumberFormat="1" applyFont="1" applyAlignment="1">
      <alignment horizontal="center"/>
    </xf>
    <xf numFmtId="3" fontId="14" fillId="0" borderId="39" xfId="0" applyNumberFormat="1" applyFont="1" applyBorder="1" applyAlignment="1">
      <alignment horizontal="center"/>
    </xf>
    <xf numFmtId="3" fontId="14" fillId="0" borderId="57" xfId="0" applyNumberFormat="1" applyFont="1" applyBorder="1" applyAlignment="1">
      <alignment horizontal="center"/>
    </xf>
    <xf numFmtId="3" fontId="14" fillId="0" borderId="58" xfId="0" applyNumberFormat="1" applyFont="1" applyBorder="1" applyAlignment="1">
      <alignment horizontal="center"/>
    </xf>
    <xf numFmtId="3" fontId="14" fillId="0" borderId="44" xfId="0" applyNumberFormat="1" applyFont="1" applyBorder="1" applyAlignment="1">
      <alignment horizontal="center"/>
    </xf>
    <xf numFmtId="3" fontId="21" fillId="0" borderId="35" xfId="0" applyNumberFormat="1" applyFont="1" applyBorder="1" applyAlignment="1">
      <alignment horizontal="center" vertical="center"/>
    </xf>
    <xf numFmtId="0" fontId="21" fillId="0" borderId="36" xfId="0" applyFont="1" applyBorder="1" applyAlignment="1">
      <alignment horizontal="center" vertical="center"/>
    </xf>
    <xf numFmtId="0" fontId="21" fillId="0" borderId="40" xfId="0" applyFont="1" applyBorder="1" applyAlignment="1">
      <alignment horizontal="center" vertical="center"/>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4" fillId="0" borderId="38" xfId="0" applyFont="1" applyBorder="1" applyAlignment="1">
      <alignment horizontal="left" vertical="center" wrapText="1"/>
    </xf>
    <xf numFmtId="3" fontId="21" fillId="0" borderId="36" xfId="0" applyNumberFormat="1" applyFont="1" applyBorder="1" applyAlignment="1">
      <alignment horizontal="center"/>
    </xf>
    <xf numFmtId="0" fontId="21" fillId="0" borderId="35" xfId="0" applyFont="1" applyBorder="1" applyAlignment="1">
      <alignment horizontal="left" vertical="center" wrapText="1"/>
    </xf>
    <xf numFmtId="0" fontId="21" fillId="0" borderId="36" xfId="0" applyFont="1" applyBorder="1" applyAlignment="1">
      <alignment horizontal="left" vertical="center" wrapText="1"/>
    </xf>
    <xf numFmtId="0" fontId="21" fillId="0" borderId="40" xfId="0" applyFont="1" applyBorder="1" applyAlignment="1">
      <alignment horizontal="left" vertical="center" wrapText="1"/>
    </xf>
    <xf numFmtId="3" fontId="14" fillId="0" borderId="35" xfId="0" applyNumberFormat="1" applyFont="1" applyBorder="1" applyAlignment="1">
      <alignment horizontal="center" vertical="center"/>
    </xf>
    <xf numFmtId="3" fontId="14" fillId="0" borderId="36" xfId="0" applyNumberFormat="1" applyFont="1" applyBorder="1" applyAlignment="1">
      <alignment horizontal="center" vertical="center"/>
    </xf>
    <xf numFmtId="3" fontId="14" fillId="0" borderId="40" xfId="0" applyNumberFormat="1" applyFont="1" applyBorder="1" applyAlignment="1">
      <alignment horizontal="center" vertical="center"/>
    </xf>
    <xf numFmtId="0" fontId="14" fillId="0" borderId="36" xfId="0" applyFont="1" applyBorder="1" applyAlignment="1">
      <alignment horizontal="center" vertical="center"/>
    </xf>
    <xf numFmtId="0" fontId="14" fillId="0" borderId="40" xfId="0" applyFont="1" applyBorder="1" applyAlignment="1">
      <alignment horizontal="center" vertical="center"/>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0" fontId="14" fillId="0" borderId="40" xfId="0" applyFont="1" applyBorder="1" applyAlignment="1">
      <alignment horizontal="left" vertical="center" wrapText="1"/>
    </xf>
    <xf numFmtId="0" fontId="14" fillId="0" borderId="33" xfId="0" applyFont="1" applyBorder="1" applyAlignment="1">
      <alignment horizontal="left" vertical="center" wrapText="1"/>
    </xf>
    <xf numFmtId="3" fontId="14" fillId="0" borderId="0" xfId="0" applyNumberFormat="1" applyFont="1" applyAlignment="1">
      <alignment horizontal="center" vertical="center"/>
    </xf>
    <xf numFmtId="3" fontId="14" fillId="0" borderId="39" xfId="0" applyNumberFormat="1" applyFont="1" applyBorder="1" applyAlignment="1">
      <alignment horizontal="center" vertical="center"/>
    </xf>
    <xf numFmtId="0" fontId="44" fillId="9" borderId="30" xfId="0" applyFont="1" applyFill="1" applyBorder="1" applyAlignment="1">
      <alignment horizontal="center" vertical="center"/>
    </xf>
    <xf numFmtId="0" fontId="44" fillId="9" borderId="31" xfId="0" applyFont="1" applyFill="1" applyBorder="1" applyAlignment="1">
      <alignment horizontal="center" vertical="center"/>
    </xf>
    <xf numFmtId="0" fontId="44" fillId="9" borderId="38" xfId="0" applyFont="1" applyFill="1" applyBorder="1" applyAlignment="1">
      <alignment horizontal="center" vertical="center"/>
    </xf>
    <xf numFmtId="0" fontId="44" fillId="9" borderId="35" xfId="0" applyFont="1" applyFill="1" applyBorder="1" applyAlignment="1">
      <alignment horizontal="center" vertical="center"/>
    </xf>
    <xf numFmtId="0" fontId="44" fillId="9" borderId="36" xfId="0" applyFont="1" applyFill="1" applyBorder="1" applyAlignment="1">
      <alignment horizontal="center" vertical="center"/>
    </xf>
    <xf numFmtId="0" fontId="44" fillId="9" borderId="40" xfId="0" applyFont="1" applyFill="1" applyBorder="1" applyAlignment="1">
      <alignment horizontal="center" vertical="center"/>
    </xf>
    <xf numFmtId="0" fontId="14" fillId="0" borderId="30" xfId="0" applyFont="1" applyBorder="1" applyAlignment="1">
      <alignment horizontal="left" vertical="center"/>
    </xf>
    <xf numFmtId="0" fontId="14" fillId="0" borderId="31" xfId="0" applyFont="1" applyBorder="1" applyAlignment="1">
      <alignment horizontal="left" vertical="center"/>
    </xf>
    <xf numFmtId="0" fontId="14" fillId="0" borderId="38" xfId="0" applyFont="1" applyBorder="1" applyAlignment="1">
      <alignment horizontal="left" vertical="center"/>
    </xf>
    <xf numFmtId="3" fontId="14" fillId="0" borderId="31" xfId="0" applyNumberFormat="1" applyFont="1" applyBorder="1" applyAlignment="1">
      <alignment horizontal="center" vertical="center"/>
    </xf>
    <xf numFmtId="3" fontId="14" fillId="0" borderId="38" xfId="0" applyNumberFormat="1" applyFont="1" applyBorder="1" applyAlignment="1">
      <alignment horizontal="center" vertical="center"/>
    </xf>
    <xf numFmtId="0" fontId="14" fillId="0" borderId="57" xfId="0" applyFont="1" applyBorder="1" applyAlignment="1">
      <alignment horizontal="left" vertical="center"/>
    </xf>
    <xf numFmtId="0" fontId="14" fillId="0" borderId="58" xfId="0" applyFont="1" applyBorder="1" applyAlignment="1">
      <alignment horizontal="left" vertical="center"/>
    </xf>
    <xf numFmtId="0" fontId="14" fillId="0" borderId="44" xfId="0" applyFont="1" applyBorder="1" applyAlignment="1">
      <alignment horizontal="left" vertical="center"/>
    </xf>
    <xf numFmtId="3" fontId="14" fillId="0" borderId="57" xfId="0" applyNumberFormat="1" applyFont="1" applyBorder="1" applyAlignment="1">
      <alignment horizontal="center" vertical="center"/>
    </xf>
    <xf numFmtId="3" fontId="14" fillId="0" borderId="58" xfId="0" applyNumberFormat="1" applyFont="1" applyBorder="1" applyAlignment="1">
      <alignment horizontal="center" vertical="center"/>
    </xf>
    <xf numFmtId="3" fontId="14" fillId="0" borderId="44" xfId="0" applyNumberFormat="1" applyFont="1" applyBorder="1" applyAlignment="1">
      <alignment horizontal="center" vertical="center"/>
    </xf>
    <xf numFmtId="0" fontId="14" fillId="0" borderId="33" xfId="0" applyFont="1" applyBorder="1" applyAlignment="1">
      <alignment horizontal="left" vertical="center"/>
    </xf>
    <xf numFmtId="0" fontId="14" fillId="0" borderId="0" xfId="0" applyFont="1" applyAlignment="1">
      <alignment horizontal="left" vertical="center"/>
    </xf>
    <xf numFmtId="0" fontId="14" fillId="0" borderId="39" xfId="0" applyFont="1" applyBorder="1" applyAlignment="1">
      <alignment horizontal="left" vertical="center"/>
    </xf>
    <xf numFmtId="0" fontId="21" fillId="0" borderId="57" xfId="0" applyFont="1" applyBorder="1" applyAlignment="1">
      <alignment horizontal="left" vertical="center"/>
    </xf>
    <xf numFmtId="0" fontId="21" fillId="0" borderId="58" xfId="0" applyFont="1" applyBorder="1" applyAlignment="1">
      <alignment horizontal="left" vertical="center"/>
    </xf>
    <xf numFmtId="0" fontId="21" fillId="0" borderId="44" xfId="0" applyFont="1" applyBorder="1" applyAlignment="1">
      <alignment horizontal="left" vertical="center"/>
    </xf>
    <xf numFmtId="0" fontId="14" fillId="0" borderId="81" xfId="0" applyFont="1" applyBorder="1" applyAlignment="1">
      <alignment horizontal="left" vertical="center" wrapText="1"/>
    </xf>
    <xf numFmtId="0" fontId="14" fillId="0" borderId="82" xfId="0" applyFont="1" applyBorder="1" applyAlignment="1">
      <alignment horizontal="left" vertical="center" wrapText="1"/>
    </xf>
    <xf numFmtId="0" fontId="14" fillId="0" borderId="83" xfId="0" applyFont="1" applyBorder="1" applyAlignment="1">
      <alignment horizontal="left" vertical="center" wrapText="1"/>
    </xf>
    <xf numFmtId="3" fontId="14" fillId="0" borderId="30" xfId="0" applyNumberFormat="1" applyFont="1" applyBorder="1" applyAlignment="1">
      <alignment horizontal="center" vertical="center"/>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14" fillId="0" borderId="40" xfId="0" applyFont="1" applyBorder="1" applyAlignment="1">
      <alignment horizontal="left" vertical="center"/>
    </xf>
    <xf numFmtId="0" fontId="14" fillId="0" borderId="0" xfId="0" applyFont="1" applyAlignment="1">
      <alignment horizontal="center" vertical="center"/>
    </xf>
    <xf numFmtId="3" fontId="14" fillId="0" borderId="33" xfId="0" applyNumberFormat="1" applyFont="1" applyBorder="1" applyAlignment="1">
      <alignment horizontal="center" vertical="center"/>
    </xf>
    <xf numFmtId="0" fontId="14" fillId="0" borderId="35" xfId="0" applyFont="1" applyBorder="1" applyAlignment="1">
      <alignment horizontal="center" vertical="center"/>
    </xf>
    <xf numFmtId="1" fontId="44" fillId="10" borderId="30" xfId="0" applyNumberFormat="1" applyFont="1" applyFill="1" applyBorder="1" applyAlignment="1">
      <alignment horizontal="center" vertical="center" wrapText="1"/>
    </xf>
    <xf numFmtId="1" fontId="44" fillId="10" borderId="31" xfId="0" applyNumberFormat="1" applyFont="1" applyFill="1" applyBorder="1" applyAlignment="1">
      <alignment horizontal="center" vertical="center" wrapText="1"/>
    </xf>
    <xf numFmtId="1" fontId="44" fillId="10" borderId="38" xfId="0" applyNumberFormat="1" applyFont="1" applyFill="1" applyBorder="1" applyAlignment="1">
      <alignment horizontal="center" vertical="center" wrapText="1"/>
    </xf>
    <xf numFmtId="0" fontId="14" fillId="0" borderId="31"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0" xfId="0" applyFont="1" applyAlignment="1">
      <alignment horizontal="center" vertical="center" wrapText="1"/>
    </xf>
    <xf numFmtId="0" fontId="14" fillId="0" borderId="39"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44" xfId="0" applyFont="1" applyBorder="1" applyAlignment="1">
      <alignment horizontal="center" vertical="center" wrapText="1"/>
    </xf>
    <xf numFmtId="1" fontId="44" fillId="10" borderId="57" xfId="0" applyNumberFormat="1" applyFont="1" applyFill="1" applyBorder="1" applyAlignment="1">
      <alignment horizontal="center" vertical="center" wrapText="1"/>
    </xf>
    <xf numFmtId="1" fontId="44" fillId="10" borderId="58" xfId="0" applyNumberFormat="1" applyFont="1" applyFill="1" applyBorder="1" applyAlignment="1">
      <alignment horizontal="center" vertical="center" wrapText="1"/>
    </xf>
    <xf numFmtId="1" fontId="44" fillId="10" borderId="44" xfId="0" applyNumberFormat="1" applyFont="1" applyFill="1" applyBorder="1" applyAlignment="1">
      <alignment horizontal="center" vertical="center" wrapText="1"/>
    </xf>
    <xf numFmtId="0" fontId="20" fillId="0" borderId="0" xfId="8" applyFont="1" applyAlignment="1">
      <alignment horizontal="left" vertical="center" wrapText="1"/>
    </xf>
    <xf numFmtId="0" fontId="19" fillId="0" borderId="1" xfId="8" applyFont="1" applyBorder="1" applyAlignment="1">
      <alignment horizontal="center" vertical="center" wrapText="1"/>
    </xf>
    <xf numFmtId="0" fontId="19" fillId="0" borderId="1" xfId="8" applyFont="1" applyBorder="1" applyAlignment="1">
      <alignment horizontal="center" wrapText="1"/>
    </xf>
    <xf numFmtId="0" fontId="19" fillId="0" borderId="1" xfId="8" applyFont="1" applyBorder="1" applyAlignment="1">
      <alignment horizontal="center"/>
    </xf>
    <xf numFmtId="0" fontId="19" fillId="0" borderId="2" xfId="6" applyFont="1" applyBorder="1" applyAlignment="1">
      <alignment horizontal="center"/>
    </xf>
    <xf numFmtId="0" fontId="19" fillId="0" borderId="3" xfId="6" applyFont="1" applyBorder="1" applyAlignment="1">
      <alignment horizontal="center"/>
    </xf>
    <xf numFmtId="0" fontId="19" fillId="0" borderId="4" xfId="6" applyFont="1" applyBorder="1" applyAlignment="1">
      <alignment horizontal="center"/>
    </xf>
    <xf numFmtId="0" fontId="19" fillId="0" borderId="2" xfId="6" applyFont="1" applyBorder="1" applyAlignment="1">
      <alignment horizontal="center" wrapText="1"/>
    </xf>
    <xf numFmtId="0" fontId="19" fillId="0" borderId="3" xfId="6" applyFont="1" applyBorder="1" applyAlignment="1">
      <alignment horizontal="center" wrapText="1"/>
    </xf>
    <xf numFmtId="0" fontId="19" fillId="0" borderId="4" xfId="6" applyFont="1" applyBorder="1" applyAlignment="1">
      <alignment horizontal="center" wrapText="1"/>
    </xf>
    <xf numFmtId="0" fontId="19" fillId="0" borderId="1" xfId="6" applyFont="1" applyBorder="1" applyAlignment="1">
      <alignment horizontal="center" vertical="center" wrapText="1"/>
    </xf>
    <xf numFmtId="0" fontId="19" fillId="0" borderId="2" xfId="6" applyFont="1" applyBorder="1" applyAlignment="1">
      <alignment horizontal="center" vertical="center" wrapText="1"/>
    </xf>
    <xf numFmtId="0" fontId="19" fillId="0" borderId="3" xfId="6" applyFont="1" applyBorder="1" applyAlignment="1">
      <alignment horizontal="center" vertical="center" wrapText="1"/>
    </xf>
    <xf numFmtId="0" fontId="19" fillId="0" borderId="4" xfId="6" applyFont="1" applyBorder="1" applyAlignment="1">
      <alignment horizontal="center" vertical="center" wrapText="1"/>
    </xf>
    <xf numFmtId="0" fontId="19" fillId="0" borderId="2" xfId="8" applyFont="1" applyBorder="1" applyAlignment="1">
      <alignment horizontal="center" vertical="center" wrapText="1"/>
    </xf>
    <xf numFmtId="0" fontId="19" fillId="0" borderId="4" xfId="8" applyFont="1" applyBorder="1" applyAlignment="1">
      <alignment horizontal="center" vertical="center" wrapText="1"/>
    </xf>
    <xf numFmtId="0" fontId="19" fillId="0" borderId="13" xfId="6" applyFont="1" applyBorder="1" applyAlignment="1">
      <alignment horizontal="center" vertical="center" wrapText="1"/>
    </xf>
    <xf numFmtId="0" fontId="19" fillId="0" borderId="15" xfId="6" applyFont="1" applyBorder="1" applyAlignment="1">
      <alignment horizontal="center" vertical="center" wrapText="1"/>
    </xf>
    <xf numFmtId="0" fontId="19" fillId="0" borderId="5" xfId="8" applyFont="1" applyBorder="1" applyAlignment="1">
      <alignment horizontal="center" vertical="center" wrapText="1"/>
    </xf>
    <xf numFmtId="0" fontId="19" fillId="0" borderId="7" xfId="8" applyFont="1" applyBorder="1" applyAlignment="1">
      <alignment horizontal="center" vertical="center" wrapText="1"/>
    </xf>
    <xf numFmtId="0" fontId="33" fillId="0" borderId="9" xfId="6" applyFont="1" applyBorder="1" applyAlignment="1">
      <alignment horizontal="center" vertical="center" wrapText="1"/>
    </xf>
    <xf numFmtId="0" fontId="19" fillId="0" borderId="2" xfId="6" applyFont="1" applyBorder="1" applyAlignment="1">
      <alignment horizontal="center" vertical="center"/>
    </xf>
    <xf numFmtId="0" fontId="19" fillId="0" borderId="3" xfId="6" applyFont="1" applyBorder="1" applyAlignment="1">
      <alignment horizontal="center" vertical="center"/>
    </xf>
    <xf numFmtId="0" fontId="19" fillId="0" borderId="4" xfId="6" applyFont="1" applyBorder="1" applyAlignment="1">
      <alignment horizontal="center" vertical="center"/>
    </xf>
    <xf numFmtId="0" fontId="19" fillId="0" borderId="1" xfId="6" applyFont="1" applyBorder="1" applyAlignment="1">
      <alignment horizontal="center" vertical="center"/>
    </xf>
    <xf numFmtId="3" fontId="19" fillId="0" borderId="2" xfId="14" applyNumberFormat="1" applyFont="1" applyBorder="1" applyAlignment="1">
      <alignment horizontal="center" vertical="center" wrapText="1"/>
    </xf>
    <xf numFmtId="3" fontId="19" fillId="0" borderId="4" xfId="14" applyNumberFormat="1" applyFont="1" applyBorder="1" applyAlignment="1">
      <alignment horizontal="center" vertical="center" wrapText="1"/>
    </xf>
    <xf numFmtId="0" fontId="19" fillId="0" borderId="5" xfId="8" applyFont="1" applyBorder="1" applyAlignment="1">
      <alignment horizontal="center" vertical="center"/>
    </xf>
    <xf numFmtId="0" fontId="19" fillId="0" borderId="7" xfId="8" applyFont="1" applyBorder="1" applyAlignment="1">
      <alignment horizontal="center" vertical="center"/>
    </xf>
    <xf numFmtId="0" fontId="19" fillId="0" borderId="8" xfId="8" applyFont="1" applyBorder="1" applyAlignment="1">
      <alignment horizontal="center" vertical="center" wrapText="1"/>
    </xf>
    <xf numFmtId="0" fontId="19" fillId="0" borderId="13" xfId="8" applyFont="1" applyBorder="1" applyAlignment="1">
      <alignment horizontal="center" vertical="center" wrapText="1"/>
    </xf>
    <xf numFmtId="0" fontId="19" fillId="0" borderId="8" xfId="6" applyFont="1" applyBorder="1" applyAlignment="1">
      <alignment horizontal="center" vertical="center" wrapText="1"/>
    </xf>
    <xf numFmtId="0" fontId="19" fillId="0" borderId="10" xfId="6" applyFont="1" applyBorder="1" applyAlignment="1">
      <alignment horizontal="center" vertical="center" wrapText="1"/>
    </xf>
    <xf numFmtId="0" fontId="19" fillId="0" borderId="2" xfId="6" applyFont="1" applyBorder="1" applyAlignment="1">
      <alignment horizontal="center" vertical="top" wrapText="1"/>
    </xf>
    <xf numFmtId="0" fontId="19" fillId="0" borderId="4" xfId="6" applyFont="1" applyBorder="1" applyAlignment="1">
      <alignment horizontal="center" vertical="top" wrapText="1"/>
    </xf>
    <xf numFmtId="168" fontId="15" fillId="0" borderId="5" xfId="6" applyNumberFormat="1" applyFont="1" applyBorder="1" applyAlignment="1">
      <alignment horizontal="center" vertical="center" wrapText="1"/>
    </xf>
    <xf numFmtId="168" fontId="15" fillId="0" borderId="6" xfId="6" applyNumberFormat="1" applyFont="1" applyBorder="1" applyAlignment="1">
      <alignment horizontal="center" vertical="center" wrapText="1"/>
    </xf>
    <xf numFmtId="168" fontId="15" fillId="0" borderId="7" xfId="6" applyNumberFormat="1" applyFont="1" applyBorder="1" applyAlignment="1">
      <alignment horizontal="center" vertical="center" wrapText="1"/>
    </xf>
    <xf numFmtId="0" fontId="46" fillId="0" borderId="0" xfId="6" applyFont="1" applyAlignment="1">
      <alignment horizontal="center" vertical="center" wrapText="1"/>
    </xf>
    <xf numFmtId="0" fontId="15" fillId="0" borderId="2" xfId="6" applyFont="1" applyBorder="1" applyAlignment="1">
      <alignment horizontal="center"/>
    </xf>
    <xf numFmtId="0" fontId="15" fillId="0" borderId="3" xfId="6" applyFont="1" applyBorder="1" applyAlignment="1">
      <alignment horizontal="center"/>
    </xf>
    <xf numFmtId="0" fontId="15" fillId="0" borderId="4" xfId="6" applyFont="1" applyBorder="1" applyAlignment="1">
      <alignment horizontal="center"/>
    </xf>
    <xf numFmtId="168" fontId="15" fillId="0" borderId="1" xfId="6" applyNumberFormat="1" applyFont="1" applyBorder="1" applyAlignment="1">
      <alignment horizontal="center" vertical="center" wrapText="1"/>
    </xf>
    <xf numFmtId="0" fontId="15" fillId="0" borderId="1" xfId="6" applyFont="1" applyBorder="1" applyAlignment="1">
      <alignment horizontal="center"/>
    </xf>
    <xf numFmtId="168" fontId="15" fillId="0" borderId="2" xfId="6" applyNumberFormat="1" applyFont="1" applyBorder="1" applyAlignment="1">
      <alignment horizontal="center" vertical="center" wrapText="1"/>
    </xf>
    <xf numFmtId="168" fontId="15" fillId="0" borderId="3" xfId="6" applyNumberFormat="1" applyFont="1" applyBorder="1" applyAlignment="1">
      <alignment horizontal="center" vertical="center" wrapText="1"/>
    </xf>
    <xf numFmtId="168" fontId="15" fillId="0" borderId="4" xfId="6" applyNumberFormat="1" applyFont="1" applyBorder="1" applyAlignment="1">
      <alignment horizontal="center" vertical="center" wrapText="1"/>
    </xf>
    <xf numFmtId="168" fontId="15" fillId="0" borderId="8" xfId="6" applyNumberFormat="1" applyFont="1" applyBorder="1" applyAlignment="1">
      <alignment horizontal="center" vertical="center" wrapText="1"/>
    </xf>
    <xf numFmtId="168" fontId="15" fillId="0" borderId="10" xfId="6" applyNumberFormat="1" applyFont="1" applyBorder="1" applyAlignment="1">
      <alignment horizontal="center" vertical="center" wrapText="1"/>
    </xf>
    <xf numFmtId="168" fontId="15" fillId="0" borderId="2" xfId="6" applyNumberFormat="1" applyFont="1" applyBorder="1" applyAlignment="1">
      <alignment horizontal="center" vertical="center"/>
    </xf>
    <xf numFmtId="168" fontId="15" fillId="0" borderId="3" xfId="6" applyNumberFormat="1" applyFont="1" applyBorder="1" applyAlignment="1">
      <alignment horizontal="center" vertical="center"/>
    </xf>
    <xf numFmtId="168" fontId="15" fillId="0" borderId="12" xfId="6" applyNumberFormat="1" applyFont="1" applyBorder="1" applyAlignment="1">
      <alignment horizontal="center" vertical="center" wrapText="1"/>
    </xf>
    <xf numFmtId="168" fontId="15" fillId="0" borderId="15" xfId="6" applyNumberFormat="1" applyFont="1" applyBorder="1" applyAlignment="1">
      <alignment horizontal="center" vertical="center" wrapText="1"/>
    </xf>
    <xf numFmtId="168" fontId="15" fillId="0" borderId="11" xfId="6" applyNumberFormat="1" applyFont="1" applyBorder="1" applyAlignment="1">
      <alignment horizontal="center" vertical="center" wrapText="1"/>
    </xf>
    <xf numFmtId="168" fontId="15" fillId="0" borderId="13" xfId="6" applyNumberFormat="1" applyFont="1" applyBorder="1" applyAlignment="1">
      <alignment horizontal="center" vertical="center" wrapText="1"/>
    </xf>
    <xf numFmtId="49" fontId="19" fillId="0" borderId="0" xfId="2" applyNumberFormat="1" applyFont="1" applyAlignment="1">
      <alignment horizontal="left" vertical="center"/>
    </xf>
    <xf numFmtId="0" fontId="19" fillId="0" borderId="2" xfId="2" applyFont="1" applyBorder="1" applyAlignment="1">
      <alignment horizontal="center"/>
    </xf>
    <xf numFmtId="0" fontId="19" fillId="0" borderId="4" xfId="2" applyFont="1" applyBorder="1" applyAlignment="1">
      <alignment horizontal="center"/>
    </xf>
    <xf numFmtId="0" fontId="19" fillId="0" borderId="1" xfId="2" applyFont="1" applyBorder="1" applyAlignment="1">
      <alignment horizont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5" fillId="0" borderId="1" xfId="6" applyFont="1" applyBorder="1" applyAlignment="1">
      <alignment horizontal="center" vertical="center" wrapText="1"/>
    </xf>
    <xf numFmtId="0" fontId="39" fillId="3" borderId="16" xfId="8" applyFont="1" applyFill="1" applyBorder="1" applyAlignment="1">
      <alignment horizontal="center" wrapText="1"/>
    </xf>
    <xf numFmtId="0" fontId="39" fillId="3" borderId="17" xfId="8" applyFont="1" applyFill="1" applyBorder="1" applyAlignment="1">
      <alignment horizontal="center" wrapText="1"/>
    </xf>
    <xf numFmtId="0" fontId="37" fillId="3" borderId="16" xfId="8" applyFont="1" applyFill="1" applyBorder="1" applyAlignment="1">
      <alignment horizontal="center" wrapText="1"/>
    </xf>
    <xf numFmtId="0" fontId="37" fillId="3" borderId="17" xfId="8" applyFont="1" applyFill="1" applyBorder="1" applyAlignment="1">
      <alignment horizontal="center" wrapText="1"/>
    </xf>
  </cellXfs>
  <cellStyles count="16">
    <cellStyle name="Comma 2" xfId="4" xr:uid="{00000000-0005-0000-0000-000000000000}"/>
    <cellStyle name="Comma 3" xfId="5" xr:uid="{00000000-0005-0000-0000-000001000000}"/>
    <cellStyle name="Hipervínculo" xfId="15" builtinId="8"/>
    <cellStyle name="Millares" xfId="3" builtinId="3"/>
    <cellStyle name="Millares [0]" xfId="14" builtinId="6"/>
    <cellStyle name="Millares [0] 2" xfId="12" xr:uid="{00000000-0005-0000-0000-000004000000}"/>
    <cellStyle name="Moneda [0]" xfId="11" builtinId="7"/>
    <cellStyle name="Normal" xfId="0" builtinId="0"/>
    <cellStyle name="Normal 2 2 3" xfId="6" xr:uid="{00000000-0005-0000-0000-000007000000}"/>
    <cellStyle name="Normal 2 3" xfId="2" xr:uid="{00000000-0005-0000-0000-000008000000}"/>
    <cellStyle name="Normal 3" xfId="9" xr:uid="{00000000-0005-0000-0000-000009000000}"/>
    <cellStyle name="Normal 3 3 2" xfId="8" xr:uid="{00000000-0005-0000-0000-00000A000000}"/>
    <cellStyle name="Normal_DDJJ 1846_25112010" xfId="10" xr:uid="{00000000-0005-0000-0000-00000B000000}"/>
    <cellStyle name="Normal_Hoja1 2" xfId="7" xr:uid="{00000000-0005-0000-0000-00000C000000}"/>
    <cellStyle name="Porcentaje" xfId="1" builtinId="5"/>
    <cellStyle name="Porcentaje 2" xfId="13" xr:uid="{00000000-0005-0000-0000-00000E000000}"/>
  </cellStyles>
  <dxfs count="0"/>
  <tableStyles count="0" defaultTableStyle="TableStyleMedium2"/>
  <colors>
    <mruColors>
      <color rgb="FF70AD47"/>
      <color rgb="FF9BBB59"/>
      <color rgb="FF21FF80"/>
      <color rgb="FF98BD4B"/>
      <color rgb="FF237526"/>
      <color rgb="FF108001"/>
      <color rgb="FF5DBC7A"/>
      <color rgb="FF60D959"/>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524998</xdr:colOff>
      <xdr:row>43</xdr:row>
      <xdr:rowOff>12507</xdr:rowOff>
    </xdr:from>
    <xdr:to>
      <xdr:col>15</xdr:col>
      <xdr:colOff>740834</xdr:colOff>
      <xdr:row>47</xdr:row>
      <xdr:rowOff>127000</xdr:rowOff>
    </xdr:to>
    <xdr:sp macro="" textlink="">
      <xdr:nvSpPr>
        <xdr:cNvPr id="5" name="Speech Bubble: Rectangle 1">
          <a:extLst>
            <a:ext uri="{FF2B5EF4-FFF2-40B4-BE49-F238E27FC236}">
              <a16:creationId xmlns:a16="http://schemas.microsoft.com/office/drawing/2014/main" id="{00000000-0008-0000-0000-000005000000}"/>
            </a:ext>
          </a:extLst>
        </xdr:cNvPr>
        <xdr:cNvSpPr/>
      </xdr:nvSpPr>
      <xdr:spPr>
        <a:xfrm>
          <a:off x="9446748" y="10394757"/>
          <a:ext cx="1972669" cy="770660"/>
        </a:xfrm>
        <a:prstGeom prst="wedgeRectCallout">
          <a:avLst>
            <a:gd name="adj1" fmla="val -80473"/>
            <a:gd name="adj2" fmla="val -18757"/>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Arial"/>
              <a:ea typeface="+mn-ea"/>
              <a:cs typeface="+mn-cs"/>
            </a:rPr>
            <a:t>Los retiros efectuados por los  socios </a:t>
          </a:r>
          <a:r>
            <a:rPr lang="es-CL" sz="1000" baseline="0">
              <a:solidFill>
                <a:schemeClr val="tx1"/>
              </a:solidFill>
              <a:effectLst/>
              <a:latin typeface="Arial"/>
              <a:ea typeface="+mn-ea"/>
              <a:cs typeface="+mn-cs"/>
            </a:rPr>
            <a:t>deben ser informados actualizados en la Declaración Jurada N°1948.</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13</xdr:col>
      <xdr:colOff>471169</xdr:colOff>
      <xdr:row>36</xdr:row>
      <xdr:rowOff>0</xdr:rowOff>
    </xdr:from>
    <xdr:to>
      <xdr:col>15</xdr:col>
      <xdr:colOff>423334</xdr:colOff>
      <xdr:row>38</xdr:row>
      <xdr:rowOff>53340</xdr:rowOff>
    </xdr:to>
    <xdr:sp macro="" textlink="">
      <xdr:nvSpPr>
        <xdr:cNvPr id="6" name="Speech Bubble: Rectangle 1">
          <a:extLst>
            <a:ext uri="{FF2B5EF4-FFF2-40B4-BE49-F238E27FC236}">
              <a16:creationId xmlns:a16="http://schemas.microsoft.com/office/drawing/2014/main" id="{00000000-0008-0000-0000-000006000000}"/>
            </a:ext>
          </a:extLst>
        </xdr:cNvPr>
        <xdr:cNvSpPr/>
      </xdr:nvSpPr>
      <xdr:spPr>
        <a:xfrm>
          <a:off x="9392919" y="8932333"/>
          <a:ext cx="1804248" cy="593090"/>
        </a:xfrm>
        <a:prstGeom prst="wedgeRectCallout">
          <a:avLst>
            <a:gd name="adj1" fmla="val -85057"/>
            <a:gd name="adj2" fmla="val 3092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Arial"/>
              <a:ea typeface="+mn-ea"/>
              <a:cs typeface="+mn-cs"/>
            </a:rPr>
            <a:t>El</a:t>
          </a:r>
          <a:r>
            <a:rPr lang="es-CL" sz="1000" baseline="0">
              <a:solidFill>
                <a:schemeClr val="tx1"/>
              </a:solidFill>
              <a:effectLst/>
              <a:latin typeface="Arial"/>
              <a:ea typeface="+mn-ea"/>
              <a:cs typeface="+mn-cs"/>
            </a:rPr>
            <a:t> cálculo del crédito IPE se detalla más adelante.</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201084</xdr:colOff>
      <xdr:row>1</xdr:row>
      <xdr:rowOff>63500</xdr:rowOff>
    </xdr:from>
    <xdr:to>
      <xdr:col>20</xdr:col>
      <xdr:colOff>477788</xdr:colOff>
      <xdr:row>2</xdr:row>
      <xdr:rowOff>137584</xdr:rowOff>
    </xdr:to>
    <xdr:pic>
      <xdr:nvPicPr>
        <xdr:cNvPr id="2" name="Imagen 1" descr="cid:image001.png@01CFC04E.66BC1CE0">
          <a:extLst>
            <a:ext uri="{FF2B5EF4-FFF2-40B4-BE49-F238E27FC236}">
              <a16:creationId xmlns:a16="http://schemas.microsoft.com/office/drawing/2014/main" id="{0196AF65-6858-4CB6-AA34-6FF469BB0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05417" y="222250"/>
          <a:ext cx="1038704" cy="370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2</xdr:row>
      <xdr:rowOff>0</xdr:rowOff>
    </xdr:from>
    <xdr:to>
      <xdr:col>2</xdr:col>
      <xdr:colOff>438150</xdr:colOff>
      <xdr:row>4</xdr:row>
      <xdr:rowOff>68107</xdr:rowOff>
    </xdr:to>
    <xdr:pic>
      <xdr:nvPicPr>
        <xdr:cNvPr id="3" name="Imagen 2" descr="cid:image001.png@01CFC04E.66BC1CE0">
          <a:extLst>
            <a:ext uri="{FF2B5EF4-FFF2-40B4-BE49-F238E27FC236}">
              <a16:creationId xmlns:a16="http://schemas.microsoft.com/office/drawing/2014/main" id="{98A4FA64-BA7B-426B-A1A5-3782B4E575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304800"/>
          <a:ext cx="1152525" cy="411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152400</xdr:rowOff>
    </xdr:from>
    <xdr:to>
      <xdr:col>2</xdr:col>
      <xdr:colOff>361950</xdr:colOff>
      <xdr:row>3</xdr:row>
      <xdr:rowOff>133350</xdr:rowOff>
    </xdr:to>
    <xdr:pic>
      <xdr:nvPicPr>
        <xdr:cNvPr id="2" name="Imagen 1" descr="cid:image001.png@01CFC04E.66BC1CE0">
          <a:extLst>
            <a:ext uri="{FF2B5EF4-FFF2-40B4-BE49-F238E27FC236}">
              <a16:creationId xmlns:a16="http://schemas.microsoft.com/office/drawing/2014/main" id="{9A2A6220-73A1-4711-860C-1F12D448E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1438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152400</xdr:rowOff>
    </xdr:from>
    <xdr:to>
      <xdr:col>2</xdr:col>
      <xdr:colOff>361950</xdr:colOff>
      <xdr:row>3</xdr:row>
      <xdr:rowOff>133350</xdr:rowOff>
    </xdr:to>
    <xdr:pic>
      <xdr:nvPicPr>
        <xdr:cNvPr id="3" name="Imagen 2" descr="cid:image001.png@01CFC04E.66BC1CE0">
          <a:extLst>
            <a:ext uri="{FF2B5EF4-FFF2-40B4-BE49-F238E27FC236}">
              <a16:creationId xmlns:a16="http://schemas.microsoft.com/office/drawing/2014/main" id="{CDC4FA31-2407-4E9C-BF59-F56FC4D20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1438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32288</xdr:colOff>
      <xdr:row>42</xdr:row>
      <xdr:rowOff>172959</xdr:rowOff>
    </xdr:from>
    <xdr:to>
      <xdr:col>12</xdr:col>
      <xdr:colOff>24216</xdr:colOff>
      <xdr:row>46</xdr:row>
      <xdr:rowOff>84667</xdr:rowOff>
    </xdr:to>
    <xdr:sp macro="" textlink="">
      <xdr:nvSpPr>
        <xdr:cNvPr id="2" name="Speech Bubble: Rectangle 1">
          <a:extLst>
            <a:ext uri="{FF2B5EF4-FFF2-40B4-BE49-F238E27FC236}">
              <a16:creationId xmlns:a16="http://schemas.microsoft.com/office/drawing/2014/main" id="{00000000-0008-0000-0200-000002000000}"/>
            </a:ext>
          </a:extLst>
        </xdr:cNvPr>
        <xdr:cNvSpPr/>
      </xdr:nvSpPr>
      <xdr:spPr>
        <a:xfrm>
          <a:off x="455621" y="8442070"/>
          <a:ext cx="10137817" cy="645486"/>
        </a:xfrm>
        <a:prstGeom prst="wedgeRectCallout">
          <a:avLst>
            <a:gd name="adj1" fmla="val -2440"/>
            <a:gd name="adj2" fmla="val -69528"/>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Arial"/>
              <a:ea typeface="+mn-ea"/>
              <a:cs typeface="+mn-cs"/>
            </a:rPr>
            <a:t>La empresa</a:t>
          </a:r>
          <a:r>
            <a:rPr lang="es-CL" sz="1000" baseline="0">
              <a:solidFill>
                <a:schemeClr val="tx1"/>
              </a:solidFill>
              <a:effectLst/>
              <a:latin typeface="Arial"/>
              <a:ea typeface="+mn-ea"/>
              <a:cs typeface="+mn-cs"/>
            </a:rPr>
            <a:t> cumple con el requisito de tener un </a:t>
          </a:r>
          <a:r>
            <a:rPr lang="es-CL" sz="1000">
              <a:solidFill>
                <a:schemeClr val="tx1"/>
              </a:solidFill>
              <a:effectLst/>
              <a:latin typeface="Arial"/>
              <a:ea typeface="+mn-ea"/>
              <a:cs typeface="+mn-cs"/>
            </a:rPr>
            <a:t>promedio anual de ingresos de su giro en los tres años comerciales anteriores al año en que se debe ejercer la opción (abril) que no exceda de las 100.000 UF,</a:t>
          </a:r>
          <a:r>
            <a:rPr lang="es-CL" sz="1000" baseline="0">
              <a:solidFill>
                <a:schemeClr val="tx1"/>
              </a:solidFill>
              <a:effectLst/>
              <a:latin typeface="Arial"/>
              <a:ea typeface="+mn-ea"/>
              <a:cs typeface="+mn-cs"/>
            </a:rPr>
            <a:t> para esto se</a:t>
          </a:r>
          <a:r>
            <a:rPr lang="es-CL" sz="1000">
              <a:solidFill>
                <a:schemeClr val="tx1"/>
              </a:solidFill>
              <a:effectLst/>
              <a:latin typeface="Arial"/>
              <a:ea typeface="+mn-ea"/>
              <a:cs typeface="+mn-cs"/>
            </a:rPr>
            <a:t> considerarán los ingresos obtenidos por sus empresas relacionadas en los términos del N° 17 del art. 8° del Código</a:t>
          </a:r>
          <a:r>
            <a:rPr lang="es-CL" sz="1000" baseline="0">
              <a:solidFill>
                <a:schemeClr val="tx1"/>
              </a:solidFill>
              <a:effectLst/>
              <a:latin typeface="Arial"/>
              <a:ea typeface="+mn-ea"/>
              <a:cs typeface="+mn-cs"/>
            </a:rPr>
            <a:t> Tributario, de la misma forma señalada en la letra D) del artículo 14 de la LIR.</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xdr:col>
      <xdr:colOff>10103</xdr:colOff>
      <xdr:row>47</xdr:row>
      <xdr:rowOff>131067</xdr:rowOff>
    </xdr:from>
    <xdr:to>
      <xdr:col>11</xdr:col>
      <xdr:colOff>1538110</xdr:colOff>
      <xdr:row>50</xdr:row>
      <xdr:rowOff>28221</xdr:rowOff>
    </xdr:to>
    <xdr:sp macro="" textlink="">
      <xdr:nvSpPr>
        <xdr:cNvPr id="3" name="Speech Bubble: Rectangle 1">
          <a:extLst>
            <a:ext uri="{FF2B5EF4-FFF2-40B4-BE49-F238E27FC236}">
              <a16:creationId xmlns:a16="http://schemas.microsoft.com/office/drawing/2014/main" id="{00000000-0008-0000-0200-000003000000}"/>
            </a:ext>
          </a:extLst>
        </xdr:cNvPr>
        <xdr:cNvSpPr/>
      </xdr:nvSpPr>
      <xdr:spPr>
        <a:xfrm>
          <a:off x="433436" y="9317400"/>
          <a:ext cx="10107563" cy="447488"/>
        </a:xfrm>
        <a:prstGeom prst="wedgeRectCallout">
          <a:avLst>
            <a:gd name="adj1" fmla="val -1245"/>
            <a:gd name="adj2" fmla="val -82232"/>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CL" sz="1000" b="0" i="0" u="none" strike="noStrike" baseline="0">
              <a:solidFill>
                <a:schemeClr val="tx1"/>
              </a:solidFill>
              <a:latin typeface="Arial"/>
              <a:ea typeface="+mn-ea"/>
              <a:cs typeface="+mn-cs"/>
            </a:rPr>
            <a:t>Los contribuyentes sujetos al régimen de la letra A) del artículo 14 de la LIR que opten por acogerse al incentivo al ahorro, deberán manifestarlo en el Formulario N° 22, sobre declaración de impuestos anuales a la renta, a través del </a:t>
          </a:r>
          <a:r>
            <a:rPr lang="es-CL" sz="1000" b="1" i="0" u="none" strike="noStrike" baseline="0">
              <a:solidFill>
                <a:schemeClr val="tx1"/>
              </a:solidFill>
              <a:latin typeface="Arial"/>
              <a:ea typeface="+mn-ea"/>
              <a:cs typeface="+mn-cs"/>
            </a:rPr>
            <a:t>código 1154 </a:t>
          </a:r>
          <a:r>
            <a:rPr lang="es-CL" sz="1000" b="0" i="0" u="none" strike="noStrike" baseline="0">
              <a:solidFill>
                <a:schemeClr val="tx1"/>
              </a:solidFill>
              <a:latin typeface="Arial"/>
              <a:ea typeface="+mn-ea"/>
              <a:cs typeface="+mn-cs"/>
            </a:rPr>
            <a:t>del </a:t>
          </a:r>
          <a:r>
            <a:rPr lang="es-CL" sz="1000" b="1" i="0" u="none" strike="noStrike" baseline="0">
              <a:solidFill>
                <a:schemeClr val="tx1"/>
              </a:solidFill>
              <a:latin typeface="Arial"/>
              <a:ea typeface="+mn-ea"/>
              <a:cs typeface="+mn-cs"/>
            </a:rPr>
            <a:t>Recuadro N°12 </a:t>
          </a:r>
          <a:r>
            <a:rPr lang="es-CL" sz="1000" b="0" i="0" u="none" strike="noStrike" baseline="0">
              <a:solidFill>
                <a:schemeClr val="tx1"/>
              </a:solidFill>
              <a:latin typeface="Arial"/>
              <a:ea typeface="+mn-ea"/>
              <a:cs typeface="+mn-cs"/>
            </a:rPr>
            <a:t>del F-22 AT 2026. </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530045</xdr:colOff>
      <xdr:row>29</xdr:row>
      <xdr:rowOff>141198</xdr:rowOff>
    </xdr:from>
    <xdr:to>
      <xdr:col>18</xdr:col>
      <xdr:colOff>112889</xdr:colOff>
      <xdr:row>32</xdr:row>
      <xdr:rowOff>423334</xdr:rowOff>
    </xdr:to>
    <xdr:sp macro="" textlink="">
      <xdr:nvSpPr>
        <xdr:cNvPr id="4" name="Speech Bubble: Rectangle 1">
          <a:extLst>
            <a:ext uri="{FF2B5EF4-FFF2-40B4-BE49-F238E27FC236}">
              <a16:creationId xmlns:a16="http://schemas.microsoft.com/office/drawing/2014/main" id="{00000000-0008-0000-0A00-000004000000}"/>
            </a:ext>
          </a:extLst>
        </xdr:cNvPr>
        <xdr:cNvSpPr/>
      </xdr:nvSpPr>
      <xdr:spPr>
        <a:xfrm>
          <a:off x="12947823" y="7507198"/>
          <a:ext cx="3350510" cy="832469"/>
        </a:xfrm>
        <a:prstGeom prst="wedgeRectCallout">
          <a:avLst>
            <a:gd name="adj1" fmla="val -39889"/>
            <a:gd name="adj2" fmla="val -15474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La imputación de los gastos rechazados del inciso 2° del art. 21 de la LIR o del inciso primero, pero no afectos al 40% se realizan a todo evento, aún cuando quede negativo el registro SAC</a:t>
          </a:r>
          <a:r>
            <a:rPr kumimoji="0" lang="es-CL" sz="1000" b="0" i="0" u="none" strike="noStrike" kern="0" cap="none" spc="0" normalizeH="0" baseline="0">
              <a:ln>
                <a:noFill/>
              </a:ln>
              <a:solidFill>
                <a:sysClr val="windowText" lastClr="000000"/>
              </a:solidFill>
              <a:effectLst/>
              <a:uLnTx/>
              <a:uFillTx/>
              <a:latin typeface="Arial"/>
              <a:ea typeface="+mn-ea"/>
              <a:cs typeface="+mn-cs"/>
            </a:rPr>
            <a:t>.</a:t>
          </a:r>
        </a:p>
      </xdr:txBody>
    </xdr:sp>
    <xdr:clientData/>
  </xdr:twoCellAnchor>
  <xdr:twoCellAnchor>
    <xdr:from>
      <xdr:col>1</xdr:col>
      <xdr:colOff>0</xdr:colOff>
      <xdr:row>28</xdr:row>
      <xdr:rowOff>0</xdr:rowOff>
    </xdr:from>
    <xdr:to>
      <xdr:col>3</xdr:col>
      <xdr:colOff>425768</xdr:colOff>
      <xdr:row>30</xdr:row>
      <xdr:rowOff>119062</xdr:rowOff>
    </xdr:to>
    <xdr:sp macro="" textlink="">
      <xdr:nvSpPr>
        <xdr:cNvPr id="9" name="Speech Bubble: Rectangle 1">
          <a:extLst>
            <a:ext uri="{FF2B5EF4-FFF2-40B4-BE49-F238E27FC236}">
              <a16:creationId xmlns:a16="http://schemas.microsoft.com/office/drawing/2014/main" id="{00000000-0008-0000-0A00-000009000000}"/>
            </a:ext>
          </a:extLst>
        </xdr:cNvPr>
        <xdr:cNvSpPr/>
      </xdr:nvSpPr>
      <xdr:spPr>
        <a:xfrm>
          <a:off x="383858" y="6405563"/>
          <a:ext cx="2339816" cy="500062"/>
        </a:xfrm>
        <a:prstGeom prst="wedgeRectCallout">
          <a:avLst>
            <a:gd name="adj1" fmla="val -34536"/>
            <a:gd name="adj2" fmla="val -328812"/>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Arial"/>
              <a:ea typeface="+mn-ea"/>
              <a:cs typeface="+mn-cs"/>
            </a:rPr>
            <a:t>La</a:t>
          </a:r>
          <a:r>
            <a:rPr lang="es-CL" sz="1000" baseline="0">
              <a:solidFill>
                <a:schemeClr val="tx1"/>
              </a:solidFill>
              <a:effectLst/>
              <a:latin typeface="Arial"/>
              <a:ea typeface="+mn-ea"/>
              <a:cs typeface="+mn-cs"/>
            </a:rPr>
            <a:t> i</a:t>
          </a:r>
          <a:r>
            <a:rPr lang="es-CL" sz="1000">
              <a:solidFill>
                <a:schemeClr val="tx1"/>
              </a:solidFill>
              <a:effectLst/>
              <a:latin typeface="Arial"/>
              <a:ea typeface="+mn-ea"/>
              <a:cs typeface="+mn-cs"/>
            </a:rPr>
            <a:t>mputación de retiros debe ser en orden cronológico.</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18</xdr:col>
      <xdr:colOff>142875</xdr:colOff>
      <xdr:row>18</xdr:row>
      <xdr:rowOff>6347</xdr:rowOff>
    </xdr:from>
    <xdr:to>
      <xdr:col>23</xdr:col>
      <xdr:colOff>404812</xdr:colOff>
      <xdr:row>21</xdr:row>
      <xdr:rowOff>59531</xdr:rowOff>
    </xdr:to>
    <xdr:sp macro="" textlink="">
      <xdr:nvSpPr>
        <xdr:cNvPr id="10" name="Speech Bubble: Rectangle 1">
          <a:extLst>
            <a:ext uri="{FF2B5EF4-FFF2-40B4-BE49-F238E27FC236}">
              <a16:creationId xmlns:a16="http://schemas.microsoft.com/office/drawing/2014/main" id="{00000000-0008-0000-0A00-00000A000000}"/>
            </a:ext>
          </a:extLst>
        </xdr:cNvPr>
        <xdr:cNvSpPr/>
      </xdr:nvSpPr>
      <xdr:spPr>
        <a:xfrm>
          <a:off x="14930438" y="4030660"/>
          <a:ext cx="4262437" cy="493715"/>
        </a:xfrm>
        <a:prstGeom prst="wedgeRectCallout">
          <a:avLst>
            <a:gd name="adj1" fmla="val -94264"/>
            <a:gd name="adj2" fmla="val 12200"/>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El crédito IPE se asigna utilizando la tasa del 8% (35% - tasa IDPC 27%), con tope del saldo en el registro SAC.</a:t>
          </a:r>
          <a:endParaRPr kumimoji="0" lang="es-CL" sz="1000" b="0" i="0" u="none" strike="noStrike" kern="0" cap="none" spc="0" normalizeH="0" baseline="0">
            <a:ln>
              <a:noFill/>
            </a:ln>
            <a:solidFill>
              <a:srgbClr val="FF0000"/>
            </a:solidFill>
            <a:effectLst/>
            <a:uLnTx/>
            <a:uFillTx/>
            <a:latin typeface="Arial"/>
            <a:ea typeface="+mn-ea"/>
            <a:cs typeface="+mn-cs"/>
          </a:endParaRPr>
        </a:p>
      </xdr:txBody>
    </xdr:sp>
    <xdr:clientData/>
  </xdr:twoCellAnchor>
  <xdr:twoCellAnchor>
    <xdr:from>
      <xdr:col>18</xdr:col>
      <xdr:colOff>127529</xdr:colOff>
      <xdr:row>7</xdr:row>
      <xdr:rowOff>305594</xdr:rowOff>
    </xdr:from>
    <xdr:to>
      <xdr:col>23</xdr:col>
      <xdr:colOff>396875</xdr:colOff>
      <xdr:row>11</xdr:row>
      <xdr:rowOff>46226</xdr:rowOff>
    </xdr:to>
    <xdr:sp macro="" textlink="">
      <xdr:nvSpPr>
        <xdr:cNvPr id="11" name="Speech Bubble: Rectangle 1">
          <a:extLst>
            <a:ext uri="{FF2B5EF4-FFF2-40B4-BE49-F238E27FC236}">
              <a16:creationId xmlns:a16="http://schemas.microsoft.com/office/drawing/2014/main" id="{00000000-0008-0000-0A00-00000B000000}"/>
            </a:ext>
          </a:extLst>
        </xdr:cNvPr>
        <xdr:cNvSpPr/>
      </xdr:nvSpPr>
      <xdr:spPr>
        <a:xfrm>
          <a:off x="14915092" y="2365375"/>
          <a:ext cx="4269846" cy="633601"/>
        </a:xfrm>
        <a:prstGeom prst="wedgeRectCallout">
          <a:avLst>
            <a:gd name="adj1" fmla="val -129146"/>
            <a:gd name="adj2" fmla="val 13939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El crédito IDPC se debe registrar de manera separada, entre con derecho a devolución y sin derecho a devolución, aquella parte cubierta por el crédito IPE contra IDPC.</a:t>
          </a:r>
        </a:p>
      </xdr:txBody>
    </xdr:sp>
    <xdr:clientData/>
  </xdr:twoCellAnchor>
  <xdr:twoCellAnchor>
    <xdr:from>
      <xdr:col>18</xdr:col>
      <xdr:colOff>130969</xdr:colOff>
      <xdr:row>12</xdr:row>
      <xdr:rowOff>66674</xdr:rowOff>
    </xdr:from>
    <xdr:to>
      <xdr:col>23</xdr:col>
      <xdr:colOff>392907</xdr:colOff>
      <xdr:row>17</xdr:row>
      <xdr:rowOff>66321</xdr:rowOff>
    </xdr:to>
    <xdr:sp macro="" textlink="">
      <xdr:nvSpPr>
        <xdr:cNvPr id="8" name="Speech Bubble: Rectangle 1">
          <a:extLst>
            <a:ext uri="{FF2B5EF4-FFF2-40B4-BE49-F238E27FC236}">
              <a16:creationId xmlns:a16="http://schemas.microsoft.com/office/drawing/2014/main" id="{4E6A81A1-66C1-4049-9D73-F5BE167EAC80}"/>
            </a:ext>
          </a:extLst>
        </xdr:cNvPr>
        <xdr:cNvSpPr/>
      </xdr:nvSpPr>
      <xdr:spPr>
        <a:xfrm>
          <a:off x="14918532" y="3078955"/>
          <a:ext cx="4262438" cy="821179"/>
        </a:xfrm>
        <a:prstGeom prst="wedgeRectCallout">
          <a:avLst>
            <a:gd name="adj1" fmla="val -116551"/>
            <a:gd name="adj2" fmla="val 28337"/>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El crédito por IDPC asociado al dividendo desde un contribuyente sujeto al régimen del artículo 14 D N°3 de la LIR, que en su naturaleza no está sujeto a restitución, debe registrarse en aquellos créditos por IDPC sujetos a restitución de conformidad a lo establecido en la letra d) del N°2 del artículo 14 A de la LIR.</a:t>
          </a:r>
          <a:endParaRPr kumimoji="0" lang="es-CL" sz="1000" b="0" i="0" u="none" strike="noStrike" kern="0" cap="none" spc="0" normalizeH="0" baseline="0">
            <a:ln>
              <a:noFill/>
            </a:ln>
            <a:solidFill>
              <a:srgbClr val="FF0000"/>
            </a:solidFill>
            <a:effectLst/>
            <a:uLnTx/>
            <a:uFillTx/>
            <a:latin typeface="Arial"/>
            <a:ea typeface="+mn-ea"/>
            <a:cs typeface="+mn-cs"/>
          </a:endParaRPr>
        </a:p>
      </xdr:txBody>
    </xdr:sp>
    <xdr:clientData/>
  </xdr:twoCellAnchor>
  <xdr:twoCellAnchor>
    <xdr:from>
      <xdr:col>18</xdr:col>
      <xdr:colOff>142169</xdr:colOff>
      <xdr:row>21</xdr:row>
      <xdr:rowOff>126914</xdr:rowOff>
    </xdr:from>
    <xdr:to>
      <xdr:col>23</xdr:col>
      <xdr:colOff>378355</xdr:colOff>
      <xdr:row>24</xdr:row>
      <xdr:rowOff>130969</xdr:rowOff>
    </xdr:to>
    <xdr:sp macro="" textlink="">
      <xdr:nvSpPr>
        <xdr:cNvPr id="13" name="Speech Bubble: Rectangle 1">
          <a:extLst>
            <a:ext uri="{FF2B5EF4-FFF2-40B4-BE49-F238E27FC236}">
              <a16:creationId xmlns:a16="http://schemas.microsoft.com/office/drawing/2014/main" id="{3FA72EFD-3D4C-4E34-A174-38428E52EE69}"/>
            </a:ext>
          </a:extLst>
        </xdr:cNvPr>
        <xdr:cNvSpPr/>
      </xdr:nvSpPr>
      <xdr:spPr>
        <a:xfrm>
          <a:off x="14929732" y="4591758"/>
          <a:ext cx="4236686" cy="575555"/>
        </a:xfrm>
        <a:prstGeom prst="wedgeRectCallout">
          <a:avLst>
            <a:gd name="adj1" fmla="val -119759"/>
            <a:gd name="adj2" fmla="val -82096"/>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En la determinación del crédito por IDPC, el factor de crédito procede aplicarlo sobre la suma del dividendo neto más el monto determinado por crédito IPE, con tope del saldo en el registro SAC.</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465668</xdr:colOff>
      <xdr:row>4</xdr:row>
      <xdr:rowOff>14110</xdr:rowOff>
    </xdr:from>
    <xdr:to>
      <xdr:col>9</xdr:col>
      <xdr:colOff>10583</xdr:colOff>
      <xdr:row>7</xdr:row>
      <xdr:rowOff>179917</xdr:rowOff>
    </xdr:to>
    <xdr:sp macro="" textlink="">
      <xdr:nvSpPr>
        <xdr:cNvPr id="6" name="Speech Bubble: Rectangle 1">
          <a:extLst>
            <a:ext uri="{FF2B5EF4-FFF2-40B4-BE49-F238E27FC236}">
              <a16:creationId xmlns:a16="http://schemas.microsoft.com/office/drawing/2014/main" id="{00000000-0008-0000-0800-000006000000}"/>
            </a:ext>
          </a:extLst>
        </xdr:cNvPr>
        <xdr:cNvSpPr/>
      </xdr:nvSpPr>
      <xdr:spPr>
        <a:xfrm>
          <a:off x="6847418" y="829027"/>
          <a:ext cx="1852082" cy="747890"/>
        </a:xfrm>
        <a:prstGeom prst="wedgeRectCallout">
          <a:avLst>
            <a:gd name="adj1" fmla="val -80993"/>
            <a:gd name="adj2" fmla="val -1409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 la sumatoria de las columnas del saldo REX al 31.12.2025, antes de imputaciones.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666752</xdr:colOff>
      <xdr:row>1</xdr:row>
      <xdr:rowOff>6350</xdr:rowOff>
    </xdr:from>
    <xdr:to>
      <xdr:col>9</xdr:col>
      <xdr:colOff>116417</xdr:colOff>
      <xdr:row>5</xdr:row>
      <xdr:rowOff>84666</xdr:rowOff>
    </xdr:to>
    <xdr:sp macro="" textlink="">
      <xdr:nvSpPr>
        <xdr:cNvPr id="3" name="Speech Bubble: Rectangle 1">
          <a:extLst>
            <a:ext uri="{FF2B5EF4-FFF2-40B4-BE49-F238E27FC236}">
              <a16:creationId xmlns:a16="http://schemas.microsoft.com/office/drawing/2014/main" id="{00000000-0008-0000-0600-000003000000}"/>
            </a:ext>
          </a:extLst>
        </xdr:cNvPr>
        <xdr:cNvSpPr/>
      </xdr:nvSpPr>
      <xdr:spPr>
        <a:xfrm>
          <a:off x="8096252" y="196850"/>
          <a:ext cx="2222498" cy="893233"/>
        </a:xfrm>
        <a:prstGeom prst="wedgeRectCallout">
          <a:avLst>
            <a:gd name="adj1" fmla="val -81255"/>
            <a:gd name="adj2" fmla="val 30678"/>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La Corrección monetaria del CPT no tiene un efecto en las cuentas de activo y por tal razón al corresponder una deducción en la RLI se debe reversar dicho efecto.</a:t>
          </a:r>
        </a:p>
      </xdr:txBody>
    </xdr:sp>
    <xdr:clientData/>
  </xdr:twoCellAnchor>
  <xdr:twoCellAnchor>
    <xdr:from>
      <xdr:col>6</xdr:col>
      <xdr:colOff>670987</xdr:colOff>
      <xdr:row>5</xdr:row>
      <xdr:rowOff>175680</xdr:rowOff>
    </xdr:from>
    <xdr:to>
      <xdr:col>9</xdr:col>
      <xdr:colOff>127001</xdr:colOff>
      <xdr:row>11</xdr:row>
      <xdr:rowOff>42334</xdr:rowOff>
    </xdr:to>
    <xdr:sp macro="" textlink="">
      <xdr:nvSpPr>
        <xdr:cNvPr id="4" name="Speech Bubble: Rectangle 1">
          <a:extLst>
            <a:ext uri="{FF2B5EF4-FFF2-40B4-BE49-F238E27FC236}">
              <a16:creationId xmlns:a16="http://schemas.microsoft.com/office/drawing/2014/main" id="{00000000-0008-0000-0600-000004000000}"/>
            </a:ext>
          </a:extLst>
        </xdr:cNvPr>
        <xdr:cNvSpPr/>
      </xdr:nvSpPr>
      <xdr:spPr>
        <a:xfrm>
          <a:off x="8100487" y="1181097"/>
          <a:ext cx="2228847" cy="1009654"/>
        </a:xfrm>
        <a:prstGeom prst="wedgeRectCallout">
          <a:avLst>
            <a:gd name="adj1" fmla="val -80075"/>
            <a:gd name="adj2" fmla="val -37833"/>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Se debe reponer el ajuste por incentivo al ahorro efectuado a la Renta Líquida debido a que dichos montos si forman efectivamente parte del CPT al no ser un monto representativo de flujo.</a:t>
          </a:r>
        </a:p>
      </xdr:txBody>
    </xdr:sp>
    <xdr:clientData/>
  </xdr:twoCellAnchor>
  <xdr:twoCellAnchor>
    <xdr:from>
      <xdr:col>6</xdr:col>
      <xdr:colOff>663577</xdr:colOff>
      <xdr:row>11</xdr:row>
      <xdr:rowOff>132288</xdr:rowOff>
    </xdr:from>
    <xdr:to>
      <xdr:col>9</xdr:col>
      <xdr:colOff>137584</xdr:colOff>
      <xdr:row>16</xdr:row>
      <xdr:rowOff>158750</xdr:rowOff>
    </xdr:to>
    <xdr:sp macro="" textlink="">
      <xdr:nvSpPr>
        <xdr:cNvPr id="6" name="Speech Bubble: Rectangle 1">
          <a:extLst>
            <a:ext uri="{FF2B5EF4-FFF2-40B4-BE49-F238E27FC236}">
              <a16:creationId xmlns:a16="http://schemas.microsoft.com/office/drawing/2014/main" id="{F5D0BEFD-530D-44C0-806C-12574F4FDF0E}"/>
            </a:ext>
          </a:extLst>
        </xdr:cNvPr>
        <xdr:cNvSpPr/>
      </xdr:nvSpPr>
      <xdr:spPr>
        <a:xfrm>
          <a:off x="8093077" y="2280705"/>
          <a:ext cx="2246840" cy="1000128"/>
        </a:xfrm>
        <a:prstGeom prst="wedgeRectCallout">
          <a:avLst>
            <a:gd name="adj1" fmla="val -80939"/>
            <a:gd name="adj2" fmla="val -33228"/>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Se debe deducir este monto ya que, si bien formó parte de la RLI del ejercicio, no se traduce en un activo para la empresa, como si ocurre con el crédito por IPE imputable al  IDPC.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349248</xdr:colOff>
      <xdr:row>1</xdr:row>
      <xdr:rowOff>0</xdr:rowOff>
    </xdr:from>
    <xdr:to>
      <xdr:col>18</xdr:col>
      <xdr:colOff>10583</xdr:colOff>
      <xdr:row>3</xdr:row>
      <xdr:rowOff>20541</xdr:rowOff>
    </xdr:to>
    <xdr:pic>
      <xdr:nvPicPr>
        <xdr:cNvPr id="8" name="Imagen 7" descr="cid:image001.png@01CFC04E.66BC1CE0">
          <a:extLst>
            <a:ext uri="{FF2B5EF4-FFF2-40B4-BE49-F238E27FC236}">
              <a16:creationId xmlns:a16="http://schemas.microsoft.com/office/drawing/2014/main" id="{0452E6D0-6878-4FDD-9FD2-8AC6877C4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1415" y="158750"/>
          <a:ext cx="1185335" cy="422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384174</xdr:colOff>
      <xdr:row>22</xdr:row>
      <xdr:rowOff>45860</xdr:rowOff>
    </xdr:from>
    <xdr:to>
      <xdr:col>21</xdr:col>
      <xdr:colOff>84667</xdr:colOff>
      <xdr:row>24</xdr:row>
      <xdr:rowOff>52916</xdr:rowOff>
    </xdr:to>
    <xdr:sp macro="" textlink="">
      <xdr:nvSpPr>
        <xdr:cNvPr id="2" name="Speech Bubble: Rectangle 1">
          <a:extLst>
            <a:ext uri="{FF2B5EF4-FFF2-40B4-BE49-F238E27FC236}">
              <a16:creationId xmlns:a16="http://schemas.microsoft.com/office/drawing/2014/main" id="{00000000-0008-0000-0500-000002000000}"/>
            </a:ext>
          </a:extLst>
        </xdr:cNvPr>
        <xdr:cNvSpPr/>
      </xdr:nvSpPr>
      <xdr:spPr>
        <a:xfrm>
          <a:off x="8406341" y="4840110"/>
          <a:ext cx="3510493" cy="472723"/>
        </a:xfrm>
        <a:prstGeom prst="wedgeRectCallout">
          <a:avLst>
            <a:gd name="adj1" fmla="val -75680"/>
            <a:gd name="adj2" fmla="val -33082"/>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El </a:t>
          </a:r>
          <a:r>
            <a:rPr kumimoji="0" lang="es-CL" sz="1000" b="1" i="0" u="none" strike="noStrike" kern="0" cap="none" spc="0" normalizeH="0" baseline="0">
              <a:ln>
                <a:noFill/>
              </a:ln>
              <a:solidFill>
                <a:schemeClr val="tx1"/>
              </a:solidFill>
              <a:effectLst/>
              <a:uLnTx/>
              <a:uFillTx/>
              <a:latin typeface="Arial"/>
              <a:ea typeface="+mn-ea"/>
              <a:cs typeface="+mn-cs"/>
            </a:rPr>
            <a:t>código 1672 </a:t>
          </a:r>
          <a:r>
            <a:rPr kumimoji="0" lang="es-CL" sz="1000" b="0" i="0" u="none" strike="noStrike" kern="0" cap="none" spc="0" normalizeH="0" baseline="0">
              <a:ln>
                <a:noFill/>
              </a:ln>
              <a:solidFill>
                <a:schemeClr val="tx1"/>
              </a:solidFill>
              <a:effectLst/>
              <a:uLnTx/>
              <a:uFillTx/>
              <a:latin typeface="Arial"/>
              <a:ea typeface="+mn-ea"/>
              <a:cs typeface="+mn-cs"/>
            </a:rPr>
            <a:t>debe ser idéntico al resultado financiero según el Balance determinado al  31 de diciembre.</a:t>
          </a:r>
        </a:p>
      </xdr:txBody>
    </xdr:sp>
    <xdr:clientData/>
  </xdr:twoCellAnchor>
  <xdr:twoCellAnchor>
    <xdr:from>
      <xdr:col>16</xdr:col>
      <xdr:colOff>370416</xdr:colOff>
      <xdr:row>9</xdr:row>
      <xdr:rowOff>216325</xdr:rowOff>
    </xdr:from>
    <xdr:to>
      <xdr:col>21</xdr:col>
      <xdr:colOff>63500</xdr:colOff>
      <xdr:row>12</xdr:row>
      <xdr:rowOff>116417</xdr:rowOff>
    </xdr:to>
    <xdr:sp macro="" textlink="">
      <xdr:nvSpPr>
        <xdr:cNvPr id="4" name="Speech Bubble: Rectangle 2">
          <a:extLst>
            <a:ext uri="{FF2B5EF4-FFF2-40B4-BE49-F238E27FC236}">
              <a16:creationId xmlns:a16="http://schemas.microsoft.com/office/drawing/2014/main" id="{00000000-0008-0000-0500-000004000000}"/>
            </a:ext>
          </a:extLst>
        </xdr:cNvPr>
        <xdr:cNvSpPr/>
      </xdr:nvSpPr>
      <xdr:spPr>
        <a:xfrm>
          <a:off x="8392583" y="2121325"/>
          <a:ext cx="3503084" cy="566842"/>
        </a:xfrm>
        <a:prstGeom prst="wedgeRectCallout">
          <a:avLst>
            <a:gd name="adj1" fmla="val -76690"/>
            <a:gd name="adj2" fmla="val -14238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al monto de la rentas percibidas por participaciones en otras sociedades, registrado como ingreso.</a:t>
          </a:r>
        </a:p>
      </xdr:txBody>
    </xdr:sp>
    <xdr:clientData/>
  </xdr:twoCellAnchor>
  <xdr:twoCellAnchor>
    <xdr:from>
      <xdr:col>16</xdr:col>
      <xdr:colOff>355598</xdr:colOff>
      <xdr:row>7</xdr:row>
      <xdr:rowOff>95248</xdr:rowOff>
    </xdr:from>
    <xdr:to>
      <xdr:col>21</xdr:col>
      <xdr:colOff>42332</xdr:colOff>
      <xdr:row>9</xdr:row>
      <xdr:rowOff>84665</xdr:rowOff>
    </xdr:to>
    <xdr:sp macro="" textlink="">
      <xdr:nvSpPr>
        <xdr:cNvPr id="5" name="Speech Bubble: Rectangle 2">
          <a:extLst>
            <a:ext uri="{FF2B5EF4-FFF2-40B4-BE49-F238E27FC236}">
              <a16:creationId xmlns:a16="http://schemas.microsoft.com/office/drawing/2014/main" id="{00000000-0008-0000-0500-000005000000}"/>
            </a:ext>
          </a:extLst>
        </xdr:cNvPr>
        <xdr:cNvSpPr/>
      </xdr:nvSpPr>
      <xdr:spPr>
        <a:xfrm>
          <a:off x="8377765" y="1555748"/>
          <a:ext cx="3496734" cy="433917"/>
        </a:xfrm>
        <a:prstGeom prst="wedgeRectCallout">
          <a:avLst>
            <a:gd name="adj1" fmla="val -75540"/>
            <a:gd name="adj2" fmla="val -144723"/>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al monto del dividendo de fuente extranjera percibido bruto, contabilizado como ingreso.</a:t>
          </a:r>
        </a:p>
      </xdr:txBody>
    </xdr:sp>
    <xdr:clientData/>
  </xdr:twoCellAnchor>
  <xdr:twoCellAnchor>
    <xdr:from>
      <xdr:col>16</xdr:col>
      <xdr:colOff>377049</xdr:colOff>
      <xdr:row>3</xdr:row>
      <xdr:rowOff>17638</xdr:rowOff>
    </xdr:from>
    <xdr:to>
      <xdr:col>21</xdr:col>
      <xdr:colOff>52918</xdr:colOff>
      <xdr:row>6</xdr:row>
      <xdr:rowOff>148168</xdr:rowOff>
    </xdr:to>
    <xdr:sp macro="" textlink="">
      <xdr:nvSpPr>
        <xdr:cNvPr id="3" name="Speech Bubble: Rectangle 2">
          <a:extLst>
            <a:ext uri="{FF2B5EF4-FFF2-40B4-BE49-F238E27FC236}">
              <a16:creationId xmlns:a16="http://schemas.microsoft.com/office/drawing/2014/main" id="{00000000-0008-0000-0500-000003000000}"/>
            </a:ext>
          </a:extLst>
        </xdr:cNvPr>
        <xdr:cNvSpPr/>
      </xdr:nvSpPr>
      <xdr:spPr>
        <a:xfrm>
          <a:off x="8399216" y="578555"/>
          <a:ext cx="3485869" cy="807863"/>
        </a:xfrm>
        <a:prstGeom prst="wedgeRectCallout">
          <a:avLst>
            <a:gd name="adj1" fmla="val -60824"/>
            <a:gd name="adj2" fmla="val -33586"/>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En los antecedentes no se adjunta el Estado de Resultados, por lo cual los valores que componen el </a:t>
          </a:r>
          <a:r>
            <a:rPr kumimoji="0" lang="es-CL" sz="1000" b="1" i="0" u="none" strike="noStrike" kern="0" cap="none" spc="0" normalizeH="0" baseline="0">
              <a:ln>
                <a:noFill/>
              </a:ln>
              <a:solidFill>
                <a:schemeClr val="tx1"/>
              </a:solidFill>
              <a:effectLst/>
              <a:uLnTx/>
              <a:uFillTx/>
              <a:latin typeface="Arial"/>
              <a:ea typeface="+mn-ea"/>
              <a:cs typeface="+mn-cs"/>
            </a:rPr>
            <a:t>código 1672 </a:t>
          </a:r>
          <a:r>
            <a:rPr kumimoji="0" lang="es-CL" sz="1000" b="0" i="0" u="none" strike="noStrike" kern="0" cap="none" spc="0" normalizeH="0" baseline="0">
              <a:ln>
                <a:noFill/>
              </a:ln>
              <a:solidFill>
                <a:schemeClr val="tx1"/>
              </a:solidFill>
              <a:effectLst/>
              <a:uLnTx/>
              <a:uFillTx/>
              <a:latin typeface="Arial"/>
              <a:ea typeface="+mn-ea"/>
              <a:cs typeface="+mn-cs"/>
            </a:rPr>
            <a:t>son valores incluidos directamente en este recuadro.</a:t>
          </a:r>
        </a:p>
      </xdr:txBody>
    </xdr:sp>
    <xdr:clientData/>
  </xdr:twoCellAnchor>
  <xdr:twoCellAnchor>
    <xdr:from>
      <xdr:col>16</xdr:col>
      <xdr:colOff>380998</xdr:colOff>
      <xdr:row>19</xdr:row>
      <xdr:rowOff>70555</xdr:rowOff>
    </xdr:from>
    <xdr:to>
      <xdr:col>21</xdr:col>
      <xdr:colOff>94896</xdr:colOff>
      <xdr:row>22</xdr:row>
      <xdr:rowOff>0</xdr:rowOff>
    </xdr:to>
    <xdr:sp macro="" textlink="">
      <xdr:nvSpPr>
        <xdr:cNvPr id="6" name="Speech Bubble: Rectangle 2">
          <a:extLst>
            <a:ext uri="{FF2B5EF4-FFF2-40B4-BE49-F238E27FC236}">
              <a16:creationId xmlns:a16="http://schemas.microsoft.com/office/drawing/2014/main" id="{00000000-0008-0000-0500-000006000000}"/>
            </a:ext>
          </a:extLst>
        </xdr:cNvPr>
        <xdr:cNvSpPr/>
      </xdr:nvSpPr>
      <xdr:spPr>
        <a:xfrm>
          <a:off x="8403165" y="4198055"/>
          <a:ext cx="3523898" cy="596195"/>
        </a:xfrm>
        <a:prstGeom prst="wedgeRectCallout">
          <a:avLst>
            <a:gd name="adj1" fmla="val -74612"/>
            <a:gd name="adj2" fmla="val 38506"/>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al monto de los impuestos soportados en el exterior por el dividendo de fuente extranjera, contabilizado como gasto.</a:t>
          </a:r>
        </a:p>
      </xdr:txBody>
    </xdr:sp>
    <xdr:clientData/>
  </xdr:twoCellAnchor>
  <xdr:twoCellAnchor>
    <xdr:from>
      <xdr:col>16</xdr:col>
      <xdr:colOff>423333</xdr:colOff>
      <xdr:row>28</xdr:row>
      <xdr:rowOff>105834</xdr:rowOff>
    </xdr:from>
    <xdr:to>
      <xdr:col>21</xdr:col>
      <xdr:colOff>31750</xdr:colOff>
      <xdr:row>30</xdr:row>
      <xdr:rowOff>84667</xdr:rowOff>
    </xdr:to>
    <xdr:sp macro="" textlink="">
      <xdr:nvSpPr>
        <xdr:cNvPr id="7" name="Speech Bubble: Rectangle 2">
          <a:extLst>
            <a:ext uri="{FF2B5EF4-FFF2-40B4-BE49-F238E27FC236}">
              <a16:creationId xmlns:a16="http://schemas.microsoft.com/office/drawing/2014/main" id="{00000000-0008-0000-0500-000007000000}"/>
            </a:ext>
          </a:extLst>
        </xdr:cNvPr>
        <xdr:cNvSpPr/>
      </xdr:nvSpPr>
      <xdr:spPr>
        <a:xfrm>
          <a:off x="8445500" y="6254751"/>
          <a:ext cx="3418417" cy="423333"/>
        </a:xfrm>
        <a:prstGeom prst="wedgeRectCallout">
          <a:avLst>
            <a:gd name="adj1" fmla="val -69916"/>
            <a:gd name="adj2" fmla="val 5999"/>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al monto del CTD determinado y que se debe agregar a la RLI.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296333</xdr:colOff>
      <xdr:row>0</xdr:row>
      <xdr:rowOff>169333</xdr:rowOff>
    </xdr:from>
    <xdr:to>
      <xdr:col>16</xdr:col>
      <xdr:colOff>645582</xdr:colOff>
      <xdr:row>2</xdr:row>
      <xdr:rowOff>184621</xdr:rowOff>
    </xdr:to>
    <xdr:pic>
      <xdr:nvPicPr>
        <xdr:cNvPr id="2" name="Imagen 1" descr="cid:image001.png@01CFC04E.66BC1CE0">
          <a:extLst>
            <a:ext uri="{FF2B5EF4-FFF2-40B4-BE49-F238E27FC236}">
              <a16:creationId xmlns:a16="http://schemas.microsoft.com/office/drawing/2014/main" id="{0A5DE514-77AF-442E-A038-DE9EF11DE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0" y="169333"/>
          <a:ext cx="1111249" cy="396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15</xdr:col>
      <xdr:colOff>232833</xdr:colOff>
      <xdr:row>1</xdr:row>
      <xdr:rowOff>21166</xdr:rowOff>
    </xdr:from>
    <xdr:to>
      <xdr:col>16</xdr:col>
      <xdr:colOff>634999</xdr:colOff>
      <xdr:row>3</xdr:row>
      <xdr:rowOff>55325</xdr:rowOff>
    </xdr:to>
    <xdr:pic>
      <xdr:nvPicPr>
        <xdr:cNvPr id="2" name="Imagen 1" descr="cid:image001.png@01CFC04E.66BC1CE0">
          <a:extLst>
            <a:ext uri="{FF2B5EF4-FFF2-40B4-BE49-F238E27FC236}">
              <a16:creationId xmlns:a16="http://schemas.microsoft.com/office/drawing/2014/main" id="{50C5E51F-B5A9-4640-8707-34B5B1B15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94750" y="264583"/>
          <a:ext cx="1164166" cy="415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472017</xdr:colOff>
      <xdr:row>8</xdr:row>
      <xdr:rowOff>42334</xdr:rowOff>
    </xdr:from>
    <xdr:to>
      <xdr:col>3</xdr:col>
      <xdr:colOff>984250</xdr:colOff>
      <xdr:row>9</xdr:row>
      <xdr:rowOff>79223</xdr:rowOff>
    </xdr:to>
    <xdr:sp macro="" textlink="">
      <xdr:nvSpPr>
        <xdr:cNvPr id="2" name="Speech Bubble: Rectangle 1">
          <a:extLst>
            <a:ext uri="{FF2B5EF4-FFF2-40B4-BE49-F238E27FC236}">
              <a16:creationId xmlns:a16="http://schemas.microsoft.com/office/drawing/2014/main" id="{9A209913-E441-4ECD-A10E-5B21D32F050F}"/>
            </a:ext>
          </a:extLst>
        </xdr:cNvPr>
        <xdr:cNvSpPr/>
      </xdr:nvSpPr>
      <xdr:spPr>
        <a:xfrm>
          <a:off x="3901017" y="2582334"/>
          <a:ext cx="988483" cy="280306"/>
        </a:xfrm>
        <a:prstGeom prst="wedgeRectCallout">
          <a:avLst>
            <a:gd name="adj1" fmla="val -3847"/>
            <a:gd name="adj2" fmla="val 133140"/>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Reversa RAI.</a:t>
          </a:r>
        </a:p>
      </xdr:txBody>
    </xdr:sp>
    <xdr:clientData/>
  </xdr:twoCellAnchor>
  <xdr:twoCellAnchor>
    <xdr:from>
      <xdr:col>5</xdr:col>
      <xdr:colOff>255061</xdr:colOff>
      <xdr:row>10</xdr:row>
      <xdr:rowOff>222248</xdr:rowOff>
    </xdr:from>
    <xdr:to>
      <xdr:col>7</xdr:col>
      <xdr:colOff>296334</xdr:colOff>
      <xdr:row>14</xdr:row>
      <xdr:rowOff>127000</xdr:rowOff>
    </xdr:to>
    <xdr:sp macro="" textlink="">
      <xdr:nvSpPr>
        <xdr:cNvPr id="3" name="Speech Bubble: Rectangle 1">
          <a:extLst>
            <a:ext uri="{FF2B5EF4-FFF2-40B4-BE49-F238E27FC236}">
              <a16:creationId xmlns:a16="http://schemas.microsoft.com/office/drawing/2014/main" id="{52C44642-3B2E-4645-B6BF-F4ED133CABE2}"/>
            </a:ext>
          </a:extLst>
        </xdr:cNvPr>
        <xdr:cNvSpPr/>
      </xdr:nvSpPr>
      <xdr:spPr>
        <a:xfrm>
          <a:off x="5567894" y="3238498"/>
          <a:ext cx="1554690" cy="878419"/>
        </a:xfrm>
        <a:prstGeom prst="wedgeRectCallout">
          <a:avLst>
            <a:gd name="adj1" fmla="val -92754"/>
            <a:gd name="adj2" fmla="val -34368"/>
          </a:avLst>
        </a:prstGeom>
        <a:solidFill>
          <a:schemeClr val="accent6">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Arial"/>
              <a:ea typeface="+mn-ea"/>
              <a:cs typeface="+mn-cs"/>
            </a:rPr>
            <a:t>Corresponde</a:t>
          </a:r>
          <a:r>
            <a:rPr lang="es-CL" sz="1000" baseline="0">
              <a:solidFill>
                <a:schemeClr val="tx1"/>
              </a:solidFill>
              <a:effectLst/>
              <a:latin typeface="Arial"/>
              <a:ea typeface="+mn-ea"/>
              <a:cs typeface="+mn-cs"/>
            </a:rPr>
            <a:t> al monto del RAI determinado al 31.12.2025 e informado en el </a:t>
          </a:r>
          <a:r>
            <a:rPr kumimoji="0" lang="es-CL" sz="1000" b="1" i="0" u="none" strike="noStrike" kern="0" cap="none" spc="0" normalizeH="0" baseline="0">
              <a:ln>
                <a:noFill/>
              </a:ln>
              <a:solidFill>
                <a:schemeClr val="tx1"/>
              </a:solidFill>
              <a:effectLst/>
              <a:uLnTx/>
              <a:uFillTx/>
              <a:latin typeface="Arial"/>
              <a:ea typeface="+mn-ea"/>
              <a:cs typeface="+mn-cs"/>
            </a:rPr>
            <a:t>Recuadro N° 13  </a:t>
          </a:r>
          <a:r>
            <a:rPr kumimoji="0" lang="es-CL" sz="1000" b="0" i="0" u="none" strike="noStrike" kern="0" cap="none" spc="0" normalizeH="0" baseline="0">
              <a:ln>
                <a:noFill/>
              </a:ln>
              <a:solidFill>
                <a:schemeClr val="tx1"/>
              </a:solidFill>
              <a:effectLst/>
              <a:uLnTx/>
              <a:uFillTx/>
              <a:latin typeface="Arial"/>
              <a:ea typeface="+mn-ea"/>
              <a:cs typeface="+mn-cs"/>
            </a:rPr>
            <a:t>del F-22 AT 2026.</a:t>
          </a:r>
        </a:p>
      </xdr:txBody>
    </xdr:sp>
    <xdr:clientData/>
  </xdr:twoCellAnchor>
  <xdr:twoCellAnchor>
    <xdr:from>
      <xdr:col>19</xdr:col>
      <xdr:colOff>116417</xdr:colOff>
      <xdr:row>0</xdr:row>
      <xdr:rowOff>148167</xdr:rowOff>
    </xdr:from>
    <xdr:to>
      <xdr:col>20</xdr:col>
      <xdr:colOff>539750</xdr:colOff>
      <xdr:row>2</xdr:row>
      <xdr:rowOff>73457</xdr:rowOff>
    </xdr:to>
    <xdr:pic>
      <xdr:nvPicPr>
        <xdr:cNvPr id="4" name="Imagen 3" descr="cid:image001.png@01CFC04E.66BC1CE0">
          <a:extLst>
            <a:ext uri="{FF2B5EF4-FFF2-40B4-BE49-F238E27FC236}">
              <a16:creationId xmlns:a16="http://schemas.microsoft.com/office/drawing/2014/main" id="{A4F4D333-5A20-4CA7-9AC2-0AB6751AB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0417" y="148167"/>
          <a:ext cx="1185333" cy="42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rardo.escudero/Mis%20documentos/Escritorio/Great/Hoja%20de%20Trabajo/Cuadratura/Cuadratura%20DDJJ%20DGC%20V2%20Cuenta%20AT%202013.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TEMP/Archivos%20temporales%20de%20Internet/Content.Outlook/Q2W04AWC/F22%20%202017"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rardo.escudero/Mis%20documentos/SBDF/Reforma%20Tributaria/Renta%20Atribuida/Prototipo/F22%20%202015%20Jose%20Luis%20Capdevi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versoCon"/>
      <sheetName val="ReversoCon"/>
      <sheetName val="Instrucciones"/>
      <sheetName val="Registrar F.22 AT.2013"/>
      <sheetName val="Registrar F.22 AT.2012"/>
      <sheetName val="Registrar DDJJ 1872"/>
      <sheetName val="1846 Res.Balance"/>
      <sheetName val="1846 Base Imponible"/>
      <sheetName val="Datos 1847"/>
      <sheetName val="Hoja de Trabajo"/>
      <sheetName val="Anexo HT Corr.Mon."/>
      <sheetName val="Comprobacion Analitica"/>
      <sheetName val="Factor Corr.Mon."/>
      <sheetName val="Anexo 1 AT.2013"/>
      <sheetName val="Anexo 2 AT.2013"/>
      <sheetName val="F1846 (AT.2013)"/>
      <sheetName val="F1847 (AT.2013)"/>
      <sheetName val="F1872 (AT.2013)"/>
      <sheetName val="Anexo (AT.2011)"/>
      <sheetName val="Anexo 2 (AT.2011)"/>
    </sheetNames>
    <sheetDataSet>
      <sheetData sheetId="0"/>
      <sheetData sheetId="1"/>
      <sheetData sheetId="2"/>
      <sheetData sheetId="3">
        <row r="2">
          <cell r="A2">
            <v>1</v>
          </cell>
          <cell r="B2" t="str">
            <v xml:space="preserve"> </v>
          </cell>
        </row>
        <row r="3">
          <cell r="A3">
            <v>2</v>
          </cell>
          <cell r="B3" t="str">
            <v xml:space="preserve"> </v>
          </cell>
        </row>
        <row r="4">
          <cell r="A4">
            <v>5</v>
          </cell>
          <cell r="B4" t="str">
            <v xml:space="preserve"> </v>
          </cell>
        </row>
        <row r="5">
          <cell r="A5">
            <v>6</v>
          </cell>
          <cell r="B5" t="str">
            <v xml:space="preserve"> </v>
          </cell>
        </row>
        <row r="6">
          <cell r="A6">
            <v>9</v>
          </cell>
          <cell r="B6" t="str">
            <v xml:space="preserve"> </v>
          </cell>
        </row>
        <row r="7">
          <cell r="A7">
            <v>8</v>
          </cell>
          <cell r="B7" t="str">
            <v xml:space="preserve"> </v>
          </cell>
        </row>
        <row r="8">
          <cell r="A8">
            <v>7</v>
          </cell>
          <cell r="B8" t="str">
            <v xml:space="preserve"> </v>
          </cell>
        </row>
        <row r="9">
          <cell r="A9">
            <v>3</v>
          </cell>
          <cell r="B9" t="str">
            <v xml:space="preserve"> </v>
          </cell>
        </row>
        <row r="10">
          <cell r="A10">
            <v>0</v>
          </cell>
          <cell r="B10" t="str">
            <v xml:space="preserve"> </v>
          </cell>
        </row>
        <row r="11">
          <cell r="A11">
            <v>0</v>
          </cell>
          <cell r="B11" t="str">
            <v xml:space="preserve"> </v>
          </cell>
        </row>
        <row r="12">
          <cell r="A12">
            <v>0</v>
          </cell>
          <cell r="B12">
            <v>0</v>
          </cell>
        </row>
        <row r="13">
          <cell r="A13">
            <v>0</v>
          </cell>
          <cell r="B13">
            <v>0</v>
          </cell>
        </row>
        <row r="14">
          <cell r="A14">
            <v>0</v>
          </cell>
          <cell r="B14">
            <v>0</v>
          </cell>
        </row>
        <row r="15">
          <cell r="A15">
            <v>0</v>
          </cell>
          <cell r="B15">
            <v>0</v>
          </cell>
        </row>
        <row r="16">
          <cell r="A16">
            <v>0</v>
          </cell>
          <cell r="B16">
            <v>0</v>
          </cell>
        </row>
        <row r="17">
          <cell r="A17">
            <v>0</v>
          </cell>
          <cell r="B17">
            <v>0</v>
          </cell>
        </row>
        <row r="18">
          <cell r="A18">
            <v>0</v>
          </cell>
          <cell r="B18">
            <v>0</v>
          </cell>
        </row>
        <row r="19">
          <cell r="A19">
            <v>0</v>
          </cell>
          <cell r="B19">
            <v>0</v>
          </cell>
        </row>
        <row r="20">
          <cell r="A20">
            <v>0</v>
          </cell>
          <cell r="B20">
            <v>0</v>
          </cell>
        </row>
        <row r="21">
          <cell r="A21">
            <v>0</v>
          </cell>
          <cell r="B21">
            <v>0</v>
          </cell>
        </row>
        <row r="22">
          <cell r="A22">
            <v>0</v>
          </cell>
          <cell r="B22">
            <v>0</v>
          </cell>
        </row>
        <row r="23">
          <cell r="A23">
            <v>0</v>
          </cell>
          <cell r="B23">
            <v>0</v>
          </cell>
        </row>
        <row r="24">
          <cell r="A24">
            <v>0</v>
          </cell>
          <cell r="B24">
            <v>0</v>
          </cell>
        </row>
        <row r="25">
          <cell r="A25">
            <v>0</v>
          </cell>
          <cell r="B25">
            <v>0</v>
          </cell>
        </row>
        <row r="26">
          <cell r="A26">
            <v>0</v>
          </cell>
          <cell r="B26">
            <v>0</v>
          </cell>
        </row>
        <row r="27">
          <cell r="A27">
            <v>0</v>
          </cell>
          <cell r="B27">
            <v>0</v>
          </cell>
        </row>
        <row r="28">
          <cell r="A28">
            <v>0</v>
          </cell>
          <cell r="B28">
            <v>0</v>
          </cell>
        </row>
        <row r="29">
          <cell r="A29">
            <v>0</v>
          </cell>
          <cell r="B29">
            <v>0</v>
          </cell>
        </row>
        <row r="30">
          <cell r="A30">
            <v>0</v>
          </cell>
          <cell r="B30">
            <v>0</v>
          </cell>
        </row>
        <row r="31">
          <cell r="A31">
            <v>0</v>
          </cell>
          <cell r="B31">
            <v>0</v>
          </cell>
        </row>
        <row r="32">
          <cell r="A32">
            <v>0</v>
          </cell>
          <cell r="B32">
            <v>0</v>
          </cell>
        </row>
        <row r="33">
          <cell r="A33">
            <v>0</v>
          </cell>
          <cell r="B33">
            <v>0</v>
          </cell>
        </row>
        <row r="34">
          <cell r="A34">
            <v>0</v>
          </cell>
          <cell r="B34">
            <v>0</v>
          </cell>
        </row>
        <row r="35">
          <cell r="A35">
            <v>0</v>
          </cell>
          <cell r="B35">
            <v>0</v>
          </cell>
        </row>
        <row r="36">
          <cell r="A36">
            <v>0</v>
          </cell>
          <cell r="B36">
            <v>0</v>
          </cell>
        </row>
        <row r="37">
          <cell r="A37">
            <v>0</v>
          </cell>
          <cell r="B37">
            <v>0</v>
          </cell>
        </row>
        <row r="38">
          <cell r="A38">
            <v>0</v>
          </cell>
          <cell r="B38">
            <v>0</v>
          </cell>
        </row>
        <row r="39">
          <cell r="A39">
            <v>0</v>
          </cell>
          <cell r="B39">
            <v>0</v>
          </cell>
        </row>
        <row r="40">
          <cell r="A40">
            <v>0</v>
          </cell>
          <cell r="B40">
            <v>0</v>
          </cell>
        </row>
        <row r="41">
          <cell r="A41">
            <v>0</v>
          </cell>
          <cell r="B41">
            <v>0</v>
          </cell>
        </row>
        <row r="42">
          <cell r="A42">
            <v>0</v>
          </cell>
          <cell r="B42">
            <v>0</v>
          </cell>
        </row>
        <row r="43">
          <cell r="A43">
            <v>0</v>
          </cell>
          <cell r="B43">
            <v>0</v>
          </cell>
        </row>
        <row r="44">
          <cell r="A44">
            <v>0</v>
          </cell>
          <cell r="B44">
            <v>0</v>
          </cell>
        </row>
        <row r="45">
          <cell r="A45">
            <v>0</v>
          </cell>
          <cell r="B45">
            <v>0</v>
          </cell>
        </row>
        <row r="46">
          <cell r="A46">
            <v>0</v>
          </cell>
          <cell r="B46">
            <v>0</v>
          </cell>
        </row>
        <row r="47">
          <cell r="A47">
            <v>0</v>
          </cell>
          <cell r="B47">
            <v>0</v>
          </cell>
        </row>
        <row r="48">
          <cell r="A48">
            <v>0</v>
          </cell>
          <cell r="B48">
            <v>0</v>
          </cell>
        </row>
        <row r="49">
          <cell r="A49">
            <v>0</v>
          </cell>
          <cell r="B49">
            <v>0</v>
          </cell>
        </row>
        <row r="50">
          <cell r="A50">
            <v>0</v>
          </cell>
          <cell r="B50">
            <v>0</v>
          </cell>
        </row>
        <row r="51">
          <cell r="A51">
            <v>0</v>
          </cell>
          <cell r="B51">
            <v>0</v>
          </cell>
        </row>
        <row r="52">
          <cell r="A52">
            <v>0</v>
          </cell>
          <cell r="B52">
            <v>0</v>
          </cell>
        </row>
        <row r="53">
          <cell r="A53">
            <v>0</v>
          </cell>
          <cell r="B53">
            <v>0</v>
          </cell>
        </row>
        <row r="54">
          <cell r="A54">
            <v>0</v>
          </cell>
          <cell r="B54">
            <v>0</v>
          </cell>
        </row>
        <row r="55">
          <cell r="A55">
            <v>0</v>
          </cell>
          <cell r="B55">
            <v>0</v>
          </cell>
        </row>
        <row r="56">
          <cell r="A56">
            <v>0</v>
          </cell>
          <cell r="B56">
            <v>0</v>
          </cell>
        </row>
        <row r="57">
          <cell r="A57">
            <v>0</v>
          </cell>
          <cell r="B57">
            <v>0</v>
          </cell>
        </row>
        <row r="58">
          <cell r="A58">
            <v>0</v>
          </cell>
          <cell r="B58">
            <v>0</v>
          </cell>
        </row>
        <row r="59">
          <cell r="A59">
            <v>0</v>
          </cell>
          <cell r="B59">
            <v>0</v>
          </cell>
        </row>
        <row r="60">
          <cell r="A60">
            <v>0</v>
          </cell>
          <cell r="B60">
            <v>0</v>
          </cell>
        </row>
        <row r="61">
          <cell r="A61">
            <v>0</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0</v>
          </cell>
          <cell r="B95">
            <v>0</v>
          </cell>
        </row>
        <row r="96">
          <cell r="A96">
            <v>0</v>
          </cell>
          <cell r="B96">
            <v>0</v>
          </cell>
        </row>
        <row r="97">
          <cell r="A97">
            <v>0</v>
          </cell>
          <cell r="B97">
            <v>0</v>
          </cell>
        </row>
        <row r="98">
          <cell r="A98">
            <v>0</v>
          </cell>
          <cell r="B98">
            <v>0</v>
          </cell>
        </row>
        <row r="99">
          <cell r="A99">
            <v>0</v>
          </cell>
          <cell r="B99">
            <v>0</v>
          </cell>
        </row>
        <row r="100">
          <cell r="A100">
            <v>0</v>
          </cell>
          <cell r="B100">
            <v>0</v>
          </cell>
        </row>
        <row r="101">
          <cell r="A101">
            <v>0</v>
          </cell>
          <cell r="B101">
            <v>0</v>
          </cell>
        </row>
        <row r="102">
          <cell r="A102">
            <v>0</v>
          </cell>
          <cell r="B102">
            <v>0</v>
          </cell>
        </row>
        <row r="103">
          <cell r="A103">
            <v>0</v>
          </cell>
          <cell r="B103">
            <v>0</v>
          </cell>
        </row>
        <row r="104">
          <cell r="A104">
            <v>0</v>
          </cell>
          <cell r="B104">
            <v>0</v>
          </cell>
        </row>
        <row r="105">
          <cell r="A105">
            <v>0</v>
          </cell>
          <cell r="B105">
            <v>0</v>
          </cell>
        </row>
        <row r="106">
          <cell r="A106">
            <v>0</v>
          </cell>
          <cell r="B106">
            <v>0</v>
          </cell>
        </row>
        <row r="107">
          <cell r="A107">
            <v>0</v>
          </cell>
          <cell r="B107">
            <v>0</v>
          </cell>
        </row>
        <row r="108">
          <cell r="A108">
            <v>0</v>
          </cell>
          <cell r="B108">
            <v>0</v>
          </cell>
        </row>
        <row r="109">
          <cell r="A109">
            <v>0</v>
          </cell>
          <cell r="B109">
            <v>0</v>
          </cell>
        </row>
        <row r="110">
          <cell r="A110">
            <v>0</v>
          </cell>
          <cell r="B110">
            <v>0</v>
          </cell>
        </row>
        <row r="111">
          <cell r="A111">
            <v>0</v>
          </cell>
          <cell r="B111">
            <v>0</v>
          </cell>
        </row>
        <row r="112">
          <cell r="A112">
            <v>0</v>
          </cell>
          <cell r="B112">
            <v>0</v>
          </cell>
        </row>
        <row r="113">
          <cell r="A113">
            <v>0</v>
          </cell>
          <cell r="B113">
            <v>0</v>
          </cell>
        </row>
        <row r="114">
          <cell r="A114">
            <v>0</v>
          </cell>
          <cell r="B114">
            <v>0</v>
          </cell>
        </row>
        <row r="115">
          <cell r="A115">
            <v>0</v>
          </cell>
          <cell r="B115">
            <v>0</v>
          </cell>
        </row>
        <row r="116">
          <cell r="A116">
            <v>0</v>
          </cell>
          <cell r="B116">
            <v>0</v>
          </cell>
        </row>
        <row r="117">
          <cell r="A117">
            <v>0</v>
          </cell>
          <cell r="B117">
            <v>0</v>
          </cell>
        </row>
        <row r="118">
          <cell r="A118">
            <v>0</v>
          </cell>
          <cell r="B118">
            <v>0</v>
          </cell>
        </row>
        <row r="119">
          <cell r="A119">
            <v>0</v>
          </cell>
          <cell r="B119">
            <v>0</v>
          </cell>
        </row>
        <row r="120">
          <cell r="A120">
            <v>0</v>
          </cell>
          <cell r="B120">
            <v>0</v>
          </cell>
        </row>
        <row r="121">
          <cell r="A121">
            <v>0</v>
          </cell>
          <cell r="B121">
            <v>0</v>
          </cell>
        </row>
        <row r="122">
          <cell r="A122">
            <v>0</v>
          </cell>
          <cell r="B122">
            <v>0</v>
          </cell>
        </row>
        <row r="123">
          <cell r="A123">
            <v>0</v>
          </cell>
          <cell r="B123">
            <v>0</v>
          </cell>
        </row>
        <row r="124">
          <cell r="A124">
            <v>0</v>
          </cell>
          <cell r="B124">
            <v>0</v>
          </cell>
        </row>
        <row r="125">
          <cell r="A125">
            <v>0</v>
          </cell>
          <cell r="B125">
            <v>0</v>
          </cell>
        </row>
        <row r="126">
          <cell r="A126">
            <v>0</v>
          </cell>
          <cell r="B126">
            <v>0</v>
          </cell>
        </row>
        <row r="127">
          <cell r="A127">
            <v>0</v>
          </cell>
          <cell r="B127">
            <v>0</v>
          </cell>
        </row>
        <row r="128">
          <cell r="A128">
            <v>0</v>
          </cell>
          <cell r="B128">
            <v>0</v>
          </cell>
        </row>
        <row r="129">
          <cell r="A129">
            <v>0</v>
          </cell>
          <cell r="B129">
            <v>0</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0</v>
          </cell>
          <cell r="B139">
            <v>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0</v>
          </cell>
        </row>
        <row r="178">
          <cell r="A178">
            <v>86</v>
          </cell>
          <cell r="B178">
            <v>0</v>
          </cell>
        </row>
        <row r="179">
          <cell r="A179">
            <v>87</v>
          </cell>
          <cell r="B179">
            <v>0</v>
          </cell>
        </row>
        <row r="180">
          <cell r="A180">
            <v>90</v>
          </cell>
          <cell r="B180">
            <v>0</v>
          </cell>
        </row>
        <row r="181">
          <cell r="A181">
            <v>39</v>
          </cell>
          <cell r="B181">
            <v>0</v>
          </cell>
        </row>
        <row r="182">
          <cell r="A182">
            <v>91</v>
          </cell>
          <cell r="B182">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versoCon"/>
      <sheetName val="ReversoCon"/>
      <sheetName val="Registrar "/>
      <sheetName val="AnversoAud"/>
      <sheetName val="ReversoAud"/>
      <sheetName val="Hoja1"/>
      <sheetName val="R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versoCon"/>
      <sheetName val="ReversoCon"/>
      <sheetName val="Supuestos"/>
      <sheetName val="DDJJ FUT "/>
      <sheetName val="DDJJ Capital"/>
      <sheetName val="Registros"/>
      <sheetName val="Antecedentes"/>
      <sheetName val="Enero de 2017"/>
      <sheetName val="Registrar  AT.-1"/>
      <sheetName val="Febrero 2017"/>
      <sheetName val="Reproceso RLI"/>
      <sheetName val="Reproceso IGC"/>
      <sheetName val="Registrar  AT.Actual"/>
      <sheetName val="AnversoAud"/>
      <sheetName val="ReversoAud"/>
      <sheetName val="R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E106"/>
  <sheetViews>
    <sheetView showGridLines="0" tabSelected="1" zoomScale="90" zoomScaleNormal="90" workbookViewId="0"/>
  </sheetViews>
  <sheetFormatPr baseColWidth="10" defaultColWidth="11.42578125" defaultRowHeight="12.75" x14ac:dyDescent="0.2"/>
  <cols>
    <col min="1" max="1" width="2.85546875" style="54" customWidth="1"/>
    <col min="2" max="2" width="4.28515625" style="53" customWidth="1"/>
    <col min="3" max="4" width="9" style="54" customWidth="1"/>
    <col min="5" max="5" width="5.42578125" style="54" customWidth="1"/>
    <col min="6" max="6" width="11.28515625" style="54" customWidth="1"/>
    <col min="7" max="7" width="12.42578125" style="54" customWidth="1"/>
    <col min="8" max="8" width="11.42578125" style="54"/>
    <col min="9" max="9" width="11.7109375" style="54" customWidth="1"/>
    <col min="10" max="10" width="10.28515625" style="54" customWidth="1"/>
    <col min="11" max="11" width="13.7109375" style="54" customWidth="1"/>
    <col min="12" max="12" width="15.7109375" style="54" customWidth="1"/>
    <col min="13" max="13" width="17" style="54" customWidth="1"/>
    <col min="14" max="14" width="11.28515625" style="159" customWidth="1"/>
    <col min="15" max="15" width="16.5703125" style="159" customWidth="1"/>
    <col min="16" max="31" width="11.42578125" style="159"/>
    <col min="32" max="16384" width="11.42578125" style="54"/>
  </cols>
  <sheetData>
    <row r="2" spans="2:16" ht="18" customHeight="1" x14ac:dyDescent="0.2">
      <c r="B2" s="196" t="s">
        <v>0</v>
      </c>
      <c r="C2" s="196"/>
      <c r="D2" s="196"/>
      <c r="E2" s="196"/>
      <c r="F2" s="196"/>
      <c r="G2" s="196"/>
      <c r="H2" s="196"/>
      <c r="I2" s="196"/>
      <c r="J2" s="196"/>
      <c r="K2" s="196"/>
      <c r="L2" s="196"/>
      <c r="M2" s="196"/>
      <c r="N2" s="52"/>
      <c r="O2" s="52"/>
      <c r="P2" s="52"/>
    </row>
    <row r="3" spans="2:16" x14ac:dyDescent="0.2">
      <c r="N3" s="52"/>
      <c r="O3" s="52"/>
      <c r="P3" s="52"/>
    </row>
    <row r="4" spans="2:16" ht="27.75" customHeight="1" x14ac:dyDescent="0.2">
      <c r="B4" s="530" t="s">
        <v>1</v>
      </c>
      <c r="C4" s="544" t="s">
        <v>2</v>
      </c>
      <c r="D4" s="544"/>
      <c r="E4" s="544"/>
      <c r="F4" s="544"/>
      <c r="G4" s="544"/>
      <c r="H4" s="544"/>
      <c r="I4" s="544"/>
      <c r="J4" s="544"/>
      <c r="K4" s="544"/>
      <c r="L4" s="544"/>
      <c r="M4" s="544"/>
      <c r="N4" s="52"/>
      <c r="O4" s="52"/>
      <c r="P4" s="52"/>
    </row>
    <row r="5" spans="2:16" ht="14.25" customHeight="1" x14ac:dyDescent="0.2">
      <c r="B5" s="55"/>
      <c r="C5" s="56"/>
      <c r="D5" s="57"/>
      <c r="E5" s="57"/>
      <c r="F5" s="57"/>
      <c r="G5" s="57"/>
      <c r="H5" s="57"/>
      <c r="I5" s="57"/>
      <c r="J5" s="57"/>
      <c r="K5" s="57"/>
      <c r="L5" s="57"/>
      <c r="M5" s="57"/>
      <c r="N5" s="52"/>
      <c r="O5" s="52"/>
      <c r="P5" s="52"/>
    </row>
    <row r="6" spans="2:16" ht="39.75" customHeight="1" x14ac:dyDescent="0.2">
      <c r="B6" s="63" t="s">
        <v>3</v>
      </c>
      <c r="C6" s="544" t="s">
        <v>1336</v>
      </c>
      <c r="D6" s="544"/>
      <c r="E6" s="544"/>
      <c r="F6" s="544"/>
      <c r="G6" s="544"/>
      <c r="H6" s="544"/>
      <c r="I6" s="544"/>
      <c r="J6" s="544"/>
      <c r="K6" s="544"/>
      <c r="L6" s="544"/>
      <c r="M6" s="544"/>
      <c r="N6" s="52"/>
      <c r="O6" s="52"/>
      <c r="P6" s="52"/>
    </row>
    <row r="7" spans="2:16" x14ac:dyDescent="0.2">
      <c r="J7" s="204"/>
      <c r="K7" s="550" t="s">
        <v>1218</v>
      </c>
      <c r="L7" s="545" t="s">
        <v>4</v>
      </c>
      <c r="M7" s="546"/>
      <c r="N7" s="52"/>
      <c r="O7" s="52"/>
      <c r="P7" s="52"/>
    </row>
    <row r="8" spans="2:16" x14ac:dyDescent="0.2">
      <c r="J8" s="206"/>
      <c r="K8" s="551"/>
      <c r="L8" s="215" t="s">
        <v>5</v>
      </c>
      <c r="M8" s="216" t="s">
        <v>6</v>
      </c>
      <c r="N8" s="52"/>
      <c r="O8" s="52"/>
      <c r="P8" s="52"/>
    </row>
    <row r="9" spans="2:16" ht="25.5" customHeight="1" x14ac:dyDescent="0.2">
      <c r="C9" s="547" t="s">
        <v>1303</v>
      </c>
      <c r="D9" s="548"/>
      <c r="E9" s="548"/>
      <c r="F9" s="548"/>
      <c r="G9" s="548"/>
      <c r="H9" s="548"/>
      <c r="I9" s="548"/>
      <c r="J9" s="549"/>
      <c r="K9" s="213">
        <v>0.9</v>
      </c>
      <c r="L9" s="208">
        <v>104774175</v>
      </c>
      <c r="M9" s="202">
        <f>ROUND(L9*(1+$M$49),0)</f>
        <v>108336497</v>
      </c>
      <c r="N9" s="59"/>
      <c r="O9" s="52"/>
      <c r="P9" s="52"/>
    </row>
    <row r="10" spans="2:16" ht="13.5" thickBot="1" x14ac:dyDescent="0.25">
      <c r="C10" s="232" t="s">
        <v>1216</v>
      </c>
      <c r="D10" s="233"/>
      <c r="E10" s="233"/>
      <c r="F10" s="233"/>
      <c r="G10" s="233"/>
      <c r="H10" s="233"/>
      <c r="I10" s="233"/>
      <c r="J10" s="234"/>
      <c r="K10" s="236">
        <v>0.1</v>
      </c>
      <c r="L10" s="231">
        <v>11641575</v>
      </c>
      <c r="M10" s="234">
        <f>ROUND(L10*(1+$M$49),0)</f>
        <v>12037389</v>
      </c>
      <c r="N10" s="59"/>
      <c r="O10" s="52"/>
      <c r="P10" s="52"/>
    </row>
    <row r="11" spans="2:16" ht="13.5" thickTop="1" x14ac:dyDescent="0.2">
      <c r="C11" s="205" t="s">
        <v>1217</v>
      </c>
      <c r="D11" s="198"/>
      <c r="E11" s="198"/>
      <c r="F11" s="198"/>
      <c r="G11" s="198"/>
      <c r="H11" s="198"/>
      <c r="I11" s="198"/>
      <c r="J11" s="206"/>
      <c r="K11" s="222">
        <f>SUM(K9:K10)</f>
        <v>1</v>
      </c>
      <c r="L11" s="210">
        <f>SUM(L9:L10)</f>
        <v>116415750</v>
      </c>
      <c r="M11" s="206">
        <f>SUM(M9:M10)</f>
        <v>120373886</v>
      </c>
      <c r="N11" s="52"/>
      <c r="O11" s="52"/>
      <c r="P11" s="52"/>
    </row>
    <row r="12" spans="2:16" x14ac:dyDescent="0.2">
      <c r="N12" s="52"/>
      <c r="O12" s="52"/>
      <c r="P12" s="52"/>
    </row>
    <row r="13" spans="2:16" x14ac:dyDescent="0.2">
      <c r="B13" s="63" t="s">
        <v>7</v>
      </c>
      <c r="C13" s="54" t="s">
        <v>8</v>
      </c>
      <c r="D13" s="53"/>
      <c r="N13" s="52"/>
      <c r="O13" s="52"/>
      <c r="P13" s="52"/>
    </row>
    <row r="14" spans="2:16" x14ac:dyDescent="0.2">
      <c r="B14" s="58"/>
      <c r="C14" s="53"/>
      <c r="D14" s="53"/>
      <c r="N14" s="52"/>
      <c r="O14" s="52"/>
      <c r="P14" s="52"/>
    </row>
    <row r="15" spans="2:16" x14ac:dyDescent="0.2">
      <c r="B15" s="58"/>
      <c r="C15" s="563" t="s">
        <v>9</v>
      </c>
      <c r="D15" s="564"/>
      <c r="E15" s="565"/>
      <c r="F15" s="538" t="s">
        <v>71</v>
      </c>
      <c r="G15" s="538" t="s">
        <v>10</v>
      </c>
      <c r="H15" s="538" t="s">
        <v>11</v>
      </c>
      <c r="I15" s="541" t="s">
        <v>12</v>
      </c>
      <c r="J15" s="542"/>
      <c r="K15" s="542"/>
      <c r="L15" s="543"/>
      <c r="M15" s="572" t="s">
        <v>13</v>
      </c>
      <c r="N15" s="542"/>
      <c r="O15" s="542"/>
      <c r="P15" s="543"/>
    </row>
    <row r="16" spans="2:16" ht="25.5" x14ac:dyDescent="0.2">
      <c r="B16" s="58"/>
      <c r="C16" s="566"/>
      <c r="D16" s="567"/>
      <c r="E16" s="568"/>
      <c r="F16" s="539"/>
      <c r="G16" s="539"/>
      <c r="H16" s="539"/>
      <c r="I16" s="538" t="s">
        <v>14</v>
      </c>
      <c r="J16" s="580" t="s">
        <v>1300</v>
      </c>
      <c r="K16" s="580" t="s">
        <v>15</v>
      </c>
      <c r="L16" s="580" t="s">
        <v>16</v>
      </c>
      <c r="M16" s="573" t="s">
        <v>17</v>
      </c>
      <c r="N16" s="574"/>
      <c r="O16" s="217" t="s">
        <v>18</v>
      </c>
      <c r="P16" s="575" t="s">
        <v>19</v>
      </c>
    </row>
    <row r="17" spans="2:31" ht="24" customHeight="1" x14ac:dyDescent="0.2">
      <c r="C17" s="566"/>
      <c r="D17" s="567"/>
      <c r="E17" s="568"/>
      <c r="F17" s="539"/>
      <c r="G17" s="539"/>
      <c r="H17" s="539"/>
      <c r="I17" s="539"/>
      <c r="J17" s="581"/>
      <c r="K17" s="581"/>
      <c r="L17" s="581"/>
      <c r="M17" s="573" t="s">
        <v>20</v>
      </c>
      <c r="N17" s="574"/>
      <c r="O17" s="217" t="s">
        <v>20</v>
      </c>
      <c r="P17" s="576"/>
    </row>
    <row r="18" spans="2:31" x14ac:dyDescent="0.2">
      <c r="C18" s="566"/>
      <c r="D18" s="567"/>
      <c r="E18" s="568"/>
      <c r="F18" s="539"/>
      <c r="G18" s="539"/>
      <c r="H18" s="539"/>
      <c r="I18" s="539"/>
      <c r="J18" s="581"/>
      <c r="K18" s="581"/>
      <c r="L18" s="581"/>
      <c r="M18" s="217" t="s">
        <v>21</v>
      </c>
      <c r="N18" s="218">
        <v>0.369863</v>
      </c>
      <c r="O18" s="218">
        <v>0</v>
      </c>
      <c r="P18" s="576"/>
    </row>
    <row r="19" spans="2:31" ht="66" customHeight="1" x14ac:dyDescent="0.2">
      <c r="C19" s="566"/>
      <c r="D19" s="567"/>
      <c r="E19" s="568"/>
      <c r="F19" s="539"/>
      <c r="G19" s="539"/>
      <c r="H19" s="539"/>
      <c r="I19" s="539"/>
      <c r="J19" s="581"/>
      <c r="K19" s="581"/>
      <c r="L19" s="581"/>
      <c r="M19" s="217" t="s">
        <v>22</v>
      </c>
      <c r="N19" s="219" t="s">
        <v>23</v>
      </c>
      <c r="O19" s="578" t="s">
        <v>24</v>
      </c>
      <c r="P19" s="576"/>
    </row>
    <row r="20" spans="2:31" ht="27" customHeight="1" x14ac:dyDescent="0.2">
      <c r="C20" s="569"/>
      <c r="D20" s="570"/>
      <c r="E20" s="571"/>
      <c r="F20" s="540"/>
      <c r="G20" s="540"/>
      <c r="H20" s="540"/>
      <c r="I20" s="540"/>
      <c r="J20" s="582"/>
      <c r="K20" s="582"/>
      <c r="L20" s="582"/>
      <c r="M20" s="220" t="s">
        <v>24</v>
      </c>
      <c r="N20" s="221" t="s">
        <v>24</v>
      </c>
      <c r="O20" s="579"/>
      <c r="P20" s="577"/>
    </row>
    <row r="21" spans="2:31" x14ac:dyDescent="0.2">
      <c r="C21" s="559" t="s">
        <v>25</v>
      </c>
      <c r="D21" s="560"/>
      <c r="E21" s="561"/>
      <c r="F21" s="197">
        <f>SUM(G21:L21)</f>
        <v>12985640</v>
      </c>
      <c r="G21" s="197">
        <v>12728890</v>
      </c>
      <c r="H21" s="197">
        <v>82160</v>
      </c>
      <c r="I21" s="197">
        <v>0</v>
      </c>
      <c r="J21" s="197">
        <v>0</v>
      </c>
      <c r="K21" s="197">
        <v>51350</v>
      </c>
      <c r="L21" s="197">
        <v>123240</v>
      </c>
      <c r="M21" s="197">
        <v>0</v>
      </c>
      <c r="N21" s="199">
        <v>-92466</v>
      </c>
      <c r="O21" s="198">
        <v>0</v>
      </c>
      <c r="P21" s="197">
        <v>0</v>
      </c>
    </row>
    <row r="22" spans="2:31" ht="26.25" customHeight="1" x14ac:dyDescent="0.2">
      <c r="C22" s="60"/>
      <c r="D22" s="60"/>
      <c r="E22" s="60"/>
      <c r="F22" s="60"/>
      <c r="G22" s="60"/>
      <c r="H22" s="60"/>
      <c r="I22" s="60"/>
      <c r="J22" s="60"/>
      <c r="K22" s="60"/>
      <c r="L22" s="60"/>
      <c r="M22" s="60"/>
      <c r="N22" s="52"/>
      <c r="O22" s="52"/>
      <c r="P22" s="52"/>
    </row>
    <row r="23" spans="2:31" ht="25.5" customHeight="1" x14ac:dyDescent="0.2">
      <c r="B23" s="63" t="s">
        <v>26</v>
      </c>
      <c r="C23" s="562" t="s">
        <v>1342</v>
      </c>
      <c r="D23" s="562"/>
      <c r="E23" s="562"/>
      <c r="F23" s="562"/>
      <c r="G23" s="562"/>
      <c r="H23" s="562"/>
      <c r="I23" s="562"/>
      <c r="J23" s="562"/>
      <c r="K23" s="562"/>
      <c r="L23" s="562"/>
      <c r="M23" s="61">
        <v>115653480</v>
      </c>
      <c r="N23" s="54"/>
      <c r="O23" s="52"/>
      <c r="P23" s="52"/>
    </row>
    <row r="24" spans="2:31" x14ac:dyDescent="0.2">
      <c r="N24" s="54"/>
      <c r="O24" s="52"/>
      <c r="P24" s="52"/>
    </row>
    <row r="25" spans="2:31" x14ac:dyDescent="0.2">
      <c r="B25" s="63" t="s">
        <v>27</v>
      </c>
      <c r="C25" s="554" t="s">
        <v>1304</v>
      </c>
      <c r="D25" s="554"/>
      <c r="E25" s="554"/>
      <c r="F25" s="554"/>
      <c r="G25" s="554"/>
      <c r="H25" s="554"/>
      <c r="I25" s="554"/>
      <c r="J25" s="554"/>
      <c r="K25" s="554"/>
      <c r="L25" s="554"/>
      <c r="M25" s="554"/>
      <c r="N25" s="52"/>
      <c r="O25" s="52"/>
      <c r="P25" s="52"/>
    </row>
    <row r="26" spans="2:31" ht="7.5" customHeight="1" x14ac:dyDescent="0.2">
      <c r="N26" s="52"/>
      <c r="O26" s="52"/>
      <c r="P26" s="52"/>
    </row>
    <row r="27" spans="2:31" ht="16.5" customHeight="1" x14ac:dyDescent="0.2">
      <c r="B27" s="223" t="s">
        <v>28</v>
      </c>
      <c r="C27" s="54" t="s">
        <v>1334</v>
      </c>
      <c r="M27" s="54">
        <v>83400500</v>
      </c>
      <c r="N27" s="62"/>
      <c r="O27" s="52"/>
      <c r="P27" s="52"/>
    </row>
    <row r="28" spans="2:31" ht="40.5" customHeight="1" x14ac:dyDescent="0.2">
      <c r="B28" s="224" t="s">
        <v>29</v>
      </c>
      <c r="C28" s="558" t="s">
        <v>1305</v>
      </c>
      <c r="D28" s="558"/>
      <c r="E28" s="558"/>
      <c r="F28" s="558"/>
      <c r="G28" s="558"/>
      <c r="H28" s="558"/>
      <c r="I28" s="558"/>
      <c r="J28" s="558"/>
      <c r="K28" s="558"/>
      <c r="L28" s="558"/>
      <c r="M28" s="73">
        <v>1000000</v>
      </c>
      <c r="N28" s="52"/>
      <c r="O28" s="52"/>
      <c r="P28" s="52"/>
    </row>
    <row r="29" spans="2:31" s="60" customFormat="1" ht="13.5" customHeight="1" x14ac:dyDescent="0.25">
      <c r="B29" s="533"/>
      <c r="C29" s="60" t="s">
        <v>1219</v>
      </c>
      <c r="D29" s="534"/>
      <c r="F29" s="534"/>
      <c r="G29" s="534"/>
      <c r="H29" s="534"/>
      <c r="I29" s="534"/>
      <c r="J29" s="534"/>
      <c r="K29" s="534"/>
      <c r="L29" s="534"/>
      <c r="M29" s="535">
        <f>ROUND(M28*0.142857,0)</f>
        <v>142857</v>
      </c>
      <c r="N29" s="83"/>
      <c r="O29" s="83"/>
      <c r="P29" s="83"/>
      <c r="Q29" s="162"/>
      <c r="R29" s="162"/>
      <c r="S29" s="162"/>
      <c r="T29" s="162"/>
      <c r="U29" s="162"/>
      <c r="V29" s="162"/>
      <c r="W29" s="162"/>
      <c r="X29" s="162"/>
      <c r="Y29" s="162"/>
      <c r="Z29" s="162"/>
      <c r="AA29" s="162"/>
      <c r="AB29" s="162"/>
      <c r="AC29" s="162"/>
      <c r="AD29" s="162"/>
      <c r="AE29" s="162"/>
    </row>
    <row r="30" spans="2:31" s="60" customFormat="1" ht="15" customHeight="1" x14ac:dyDescent="0.25">
      <c r="B30" s="533" t="s">
        <v>30</v>
      </c>
      <c r="C30" s="74" t="s">
        <v>1224</v>
      </c>
      <c r="D30" s="534"/>
      <c r="E30" s="534"/>
      <c r="F30" s="534"/>
      <c r="G30" s="534"/>
      <c r="I30" s="534"/>
      <c r="K30" s="534"/>
      <c r="L30" s="534"/>
      <c r="M30" s="64"/>
      <c r="N30" s="83"/>
      <c r="P30" s="83"/>
      <c r="Q30" s="162"/>
      <c r="R30" s="162"/>
      <c r="S30" s="162"/>
      <c r="T30" s="162"/>
      <c r="U30" s="162"/>
      <c r="V30" s="162"/>
      <c r="W30" s="162"/>
      <c r="X30" s="162"/>
      <c r="Y30" s="162"/>
      <c r="Z30" s="162"/>
      <c r="AA30" s="162"/>
      <c r="AB30" s="162"/>
      <c r="AC30" s="162"/>
      <c r="AD30" s="162"/>
      <c r="AE30" s="162"/>
    </row>
    <row r="31" spans="2:31" s="60" customFormat="1" ht="15" customHeight="1" x14ac:dyDescent="0.25">
      <c r="B31" s="533"/>
      <c r="C31" s="557" t="s">
        <v>1220</v>
      </c>
      <c r="D31" s="557"/>
      <c r="E31" s="557"/>
      <c r="F31" s="557"/>
      <c r="G31" s="557"/>
      <c r="H31" s="557"/>
      <c r="I31" s="557"/>
      <c r="J31" s="557"/>
      <c r="K31" s="557"/>
      <c r="L31" s="557"/>
      <c r="M31" s="64">
        <v>49213</v>
      </c>
      <c r="N31" s="83"/>
      <c r="O31" s="83"/>
      <c r="P31" s="83"/>
      <c r="Q31" s="162"/>
      <c r="R31" s="162"/>
      <c r="S31" s="162"/>
      <c r="T31" s="162"/>
      <c r="U31" s="162"/>
      <c r="V31" s="162"/>
      <c r="W31" s="162"/>
      <c r="X31" s="162"/>
      <c r="Y31" s="162"/>
      <c r="Z31" s="162"/>
      <c r="AA31" s="162"/>
      <c r="AB31" s="162"/>
      <c r="AC31" s="162"/>
      <c r="AD31" s="162"/>
      <c r="AE31" s="162"/>
    </row>
    <row r="32" spans="2:31" s="60" customFormat="1" ht="15" customHeight="1" x14ac:dyDescent="0.25">
      <c r="B32" s="533"/>
      <c r="C32" s="557" t="s">
        <v>1246</v>
      </c>
      <c r="D32" s="557"/>
      <c r="E32" s="557"/>
      <c r="F32" s="557"/>
      <c r="G32" s="557"/>
      <c r="H32" s="557"/>
      <c r="I32" s="557"/>
      <c r="J32" s="557"/>
      <c r="K32" s="557"/>
      <c r="L32" s="557"/>
      <c r="M32" s="64">
        <v>196850</v>
      </c>
      <c r="N32" s="83"/>
      <c r="O32" s="83"/>
      <c r="P32" s="83"/>
      <c r="Q32" s="162"/>
      <c r="R32" s="162"/>
      <c r="S32" s="162"/>
      <c r="T32" s="162"/>
      <c r="U32" s="162"/>
      <c r="V32" s="162"/>
      <c r="W32" s="162"/>
      <c r="X32" s="162"/>
      <c r="Y32" s="162"/>
      <c r="Z32" s="162"/>
      <c r="AA32" s="162"/>
      <c r="AB32" s="162"/>
      <c r="AC32" s="162"/>
      <c r="AD32" s="162"/>
      <c r="AE32" s="162"/>
    </row>
    <row r="33" spans="2:31" s="60" customFormat="1" ht="15" customHeight="1" x14ac:dyDescent="0.25">
      <c r="B33" s="533"/>
      <c r="C33" s="557" t="s">
        <v>1221</v>
      </c>
      <c r="D33" s="557"/>
      <c r="E33" s="557"/>
      <c r="F33" s="557"/>
      <c r="G33" s="557"/>
      <c r="H33" s="557"/>
      <c r="I33" s="557"/>
      <c r="J33" s="557"/>
      <c r="K33" s="557"/>
      <c r="L33" s="557"/>
      <c r="M33" s="64">
        <v>765054</v>
      </c>
      <c r="N33" s="83"/>
      <c r="O33" s="83"/>
      <c r="P33" s="83"/>
      <c r="Q33" s="162"/>
      <c r="R33" s="162"/>
      <c r="S33" s="162"/>
      <c r="T33" s="162"/>
      <c r="U33" s="162"/>
      <c r="V33" s="162"/>
      <c r="W33" s="162"/>
      <c r="X33" s="162"/>
      <c r="Y33" s="162"/>
      <c r="Z33" s="162"/>
      <c r="AA33" s="162"/>
      <c r="AB33" s="162"/>
      <c r="AC33" s="162"/>
      <c r="AD33" s="162"/>
      <c r="AE33" s="162"/>
    </row>
    <row r="34" spans="2:31" s="60" customFormat="1" ht="15" customHeight="1" x14ac:dyDescent="0.25">
      <c r="B34" s="533"/>
      <c r="C34" s="557" t="s">
        <v>1222</v>
      </c>
      <c r="D34" s="557"/>
      <c r="E34" s="557"/>
      <c r="F34" s="557"/>
      <c r="G34" s="557"/>
      <c r="H34" s="557"/>
      <c r="I34" s="557"/>
      <c r="J34" s="557"/>
      <c r="K34" s="557"/>
      <c r="L34" s="557"/>
      <c r="M34" s="64">
        <v>17280000</v>
      </c>
      <c r="N34" s="83"/>
      <c r="O34" s="83"/>
      <c r="P34" s="83"/>
      <c r="Q34" s="162"/>
      <c r="R34" s="162"/>
      <c r="S34" s="162"/>
      <c r="T34" s="162"/>
      <c r="U34" s="162"/>
      <c r="V34" s="162"/>
      <c r="W34" s="162"/>
      <c r="X34" s="162"/>
      <c r="Y34" s="162"/>
      <c r="Z34" s="162"/>
      <c r="AA34" s="162"/>
      <c r="AB34" s="162"/>
      <c r="AC34" s="162"/>
      <c r="AD34" s="162"/>
      <c r="AE34" s="162"/>
    </row>
    <row r="35" spans="2:31" s="60" customFormat="1" ht="15" customHeight="1" x14ac:dyDescent="0.25">
      <c r="B35" s="533"/>
      <c r="C35" s="555" t="s">
        <v>1223</v>
      </c>
      <c r="D35" s="555"/>
      <c r="E35" s="555"/>
      <c r="F35" s="555"/>
      <c r="G35" s="555"/>
      <c r="H35" s="555"/>
      <c r="I35" s="555"/>
      <c r="J35" s="555"/>
      <c r="K35" s="555"/>
      <c r="L35" s="555"/>
      <c r="M35" s="64">
        <v>3000000</v>
      </c>
      <c r="N35" s="83"/>
      <c r="O35" s="83"/>
      <c r="P35" s="83"/>
      <c r="Q35" s="162"/>
      <c r="R35" s="162"/>
      <c r="S35" s="162"/>
      <c r="T35" s="162"/>
      <c r="U35" s="162"/>
      <c r="V35" s="162"/>
      <c r="W35" s="162"/>
      <c r="X35" s="162"/>
      <c r="Y35" s="162"/>
      <c r="Z35" s="162"/>
      <c r="AA35" s="162"/>
      <c r="AB35" s="162"/>
      <c r="AC35" s="162"/>
      <c r="AD35" s="162"/>
      <c r="AE35" s="162"/>
    </row>
    <row r="36" spans="2:31" s="63" customFormat="1" ht="24.75" customHeight="1" x14ac:dyDescent="0.2">
      <c r="B36" s="224" t="s">
        <v>31</v>
      </c>
      <c r="C36" s="554" t="s">
        <v>1225</v>
      </c>
      <c r="D36" s="554"/>
      <c r="E36" s="554"/>
      <c r="F36" s="554"/>
      <c r="G36" s="554"/>
      <c r="H36" s="554"/>
      <c r="I36" s="554"/>
      <c r="J36" s="554"/>
      <c r="K36" s="554"/>
      <c r="L36" s="554"/>
      <c r="M36" s="54">
        <v>2800000</v>
      </c>
      <c r="N36" s="200"/>
      <c r="O36" s="200"/>
      <c r="P36" s="200"/>
      <c r="Q36" s="201"/>
      <c r="R36" s="201"/>
      <c r="S36" s="201"/>
      <c r="T36" s="201"/>
      <c r="U36" s="201"/>
      <c r="V36" s="201"/>
      <c r="W36" s="201"/>
      <c r="X36" s="201"/>
      <c r="Y36" s="201"/>
      <c r="Z36" s="201"/>
      <c r="AA36" s="201"/>
      <c r="AB36" s="201"/>
      <c r="AC36" s="201"/>
      <c r="AD36" s="201"/>
      <c r="AE36" s="201"/>
    </row>
    <row r="37" spans="2:31" s="60" customFormat="1" ht="17.25" customHeight="1" x14ac:dyDescent="0.25">
      <c r="B37" s="533" t="s">
        <v>32</v>
      </c>
      <c r="C37" s="555" t="s">
        <v>1247</v>
      </c>
      <c r="D37" s="555"/>
      <c r="E37" s="555"/>
      <c r="F37" s="555"/>
      <c r="G37" s="555"/>
      <c r="H37" s="555"/>
      <c r="I37" s="555"/>
      <c r="J37" s="555"/>
      <c r="K37" s="555"/>
      <c r="L37" s="555"/>
      <c r="M37" s="60">
        <v>0</v>
      </c>
      <c r="N37" s="83"/>
      <c r="O37" s="83"/>
      <c r="P37" s="83"/>
      <c r="Q37" s="162"/>
      <c r="R37" s="162"/>
      <c r="S37" s="162"/>
      <c r="T37" s="162"/>
      <c r="U37" s="162"/>
      <c r="V37" s="162"/>
      <c r="W37" s="162"/>
      <c r="X37" s="162"/>
      <c r="Y37" s="162"/>
      <c r="Z37" s="162"/>
      <c r="AA37" s="162"/>
      <c r="AB37" s="162"/>
      <c r="AC37" s="162"/>
      <c r="AD37" s="162"/>
      <c r="AE37" s="162"/>
    </row>
    <row r="38" spans="2:31" ht="24.75" customHeight="1" x14ac:dyDescent="0.2">
      <c r="B38" s="224" t="s">
        <v>33</v>
      </c>
      <c r="C38" s="556" t="s">
        <v>1337</v>
      </c>
      <c r="D38" s="556"/>
      <c r="E38" s="556"/>
      <c r="F38" s="556"/>
      <c r="G38" s="556"/>
      <c r="H38" s="556"/>
      <c r="I38" s="556"/>
      <c r="J38" s="556"/>
      <c r="K38" s="556"/>
      <c r="L38" s="556"/>
      <c r="M38" s="54">
        <v>8500</v>
      </c>
      <c r="N38" s="52"/>
      <c r="O38" s="52"/>
      <c r="P38" s="52"/>
    </row>
    <row r="39" spans="2:31" x14ac:dyDescent="0.2">
      <c r="N39" s="52"/>
      <c r="O39" s="52"/>
      <c r="P39" s="52"/>
    </row>
    <row r="40" spans="2:31" x14ac:dyDescent="0.2">
      <c r="B40" s="54" t="s">
        <v>34</v>
      </c>
      <c r="C40" s="54" t="s">
        <v>35</v>
      </c>
      <c r="N40" s="52"/>
      <c r="O40" s="52"/>
      <c r="P40" s="52"/>
    </row>
    <row r="41" spans="2:31" ht="6.75" customHeight="1" x14ac:dyDescent="0.2">
      <c r="C41" s="53"/>
      <c r="K41" s="198"/>
      <c r="L41" s="198"/>
      <c r="N41" s="52"/>
      <c r="O41" s="52"/>
      <c r="P41" s="52"/>
    </row>
    <row r="42" spans="2:31" ht="25.5" x14ac:dyDescent="0.2">
      <c r="C42" s="198"/>
      <c r="D42" s="198"/>
      <c r="E42" s="198"/>
      <c r="F42" s="198"/>
      <c r="G42" s="198"/>
      <c r="H42" s="198"/>
      <c r="I42" s="198"/>
      <c r="J42" s="206"/>
      <c r="K42" s="229" t="s">
        <v>36</v>
      </c>
      <c r="L42" s="230" t="s">
        <v>1227</v>
      </c>
      <c r="M42" s="229" t="s">
        <v>37</v>
      </c>
      <c r="N42" s="52"/>
      <c r="O42" s="52"/>
      <c r="P42" s="52"/>
    </row>
    <row r="43" spans="2:31" x14ac:dyDescent="0.2">
      <c r="B43" s="225"/>
      <c r="C43" s="211" t="s">
        <v>1262</v>
      </c>
      <c r="D43" s="212"/>
      <c r="E43" s="212"/>
      <c r="F43" s="212"/>
      <c r="G43" s="212"/>
      <c r="H43" s="212"/>
      <c r="I43" s="212"/>
      <c r="J43" s="214"/>
      <c r="K43" s="197">
        <v>54000000</v>
      </c>
      <c r="L43" s="228">
        <f>M50</f>
        <v>2.1999999999999999E-2</v>
      </c>
      <c r="M43" s="197">
        <f>+K43*(1+L43)</f>
        <v>55188000</v>
      </c>
      <c r="N43" s="52"/>
      <c r="O43" s="52"/>
      <c r="P43" s="52"/>
    </row>
    <row r="44" spans="2:31" ht="13.5" thickBot="1" x14ac:dyDescent="0.25">
      <c r="B44" s="225"/>
      <c r="C44" s="232" t="s">
        <v>1263</v>
      </c>
      <c r="D44" s="233"/>
      <c r="E44" s="233"/>
      <c r="F44" s="233"/>
      <c r="G44" s="233"/>
      <c r="H44" s="233"/>
      <c r="I44" s="233"/>
      <c r="J44" s="234"/>
      <c r="K44" s="231">
        <v>6000000</v>
      </c>
      <c r="L44" s="235">
        <f>M51</f>
        <v>1.6E-2</v>
      </c>
      <c r="M44" s="231">
        <f>+K44*(1+L44)</f>
        <v>6096000</v>
      </c>
      <c r="N44" s="52"/>
      <c r="O44" s="52"/>
      <c r="P44" s="52"/>
    </row>
    <row r="45" spans="2:31" ht="13.5" thickTop="1" x14ac:dyDescent="0.2">
      <c r="B45" s="225"/>
      <c r="C45" s="205" t="s">
        <v>1226</v>
      </c>
      <c r="D45" s="198"/>
      <c r="E45" s="198"/>
      <c r="F45" s="198"/>
      <c r="G45" s="198"/>
      <c r="H45" s="198"/>
      <c r="I45" s="198"/>
      <c r="J45" s="206"/>
      <c r="K45" s="210">
        <f>SUM(K43:K44)</f>
        <v>60000000</v>
      </c>
      <c r="L45" s="226"/>
      <c r="M45" s="206">
        <f>SUM(M43:M44)</f>
        <v>61284000</v>
      </c>
      <c r="N45" s="52"/>
      <c r="O45" s="52"/>
      <c r="P45" s="52"/>
    </row>
    <row r="46" spans="2:31" x14ac:dyDescent="0.2">
      <c r="N46" s="52"/>
      <c r="O46" s="52"/>
      <c r="P46" s="52"/>
    </row>
    <row r="47" spans="2:31" x14ac:dyDescent="0.2">
      <c r="B47" s="54" t="s">
        <v>38</v>
      </c>
      <c r="C47" s="552" t="s">
        <v>1346</v>
      </c>
      <c r="D47" s="552"/>
      <c r="E47" s="552"/>
      <c r="F47" s="552"/>
      <c r="G47" s="552"/>
      <c r="N47" s="52"/>
      <c r="O47" s="52"/>
      <c r="P47" s="52"/>
    </row>
    <row r="48" spans="2:31" x14ac:dyDescent="0.2">
      <c r="N48" s="52"/>
      <c r="O48" s="52"/>
      <c r="P48" s="52"/>
    </row>
    <row r="49" spans="2:16" x14ac:dyDescent="0.2">
      <c r="C49" s="54" t="s">
        <v>1228</v>
      </c>
      <c r="M49" s="65">
        <v>3.4000000000000002E-2</v>
      </c>
      <c r="N49" s="52"/>
      <c r="O49" s="52"/>
      <c r="P49" s="52"/>
    </row>
    <row r="50" spans="2:16" x14ac:dyDescent="0.2">
      <c r="C50" s="54" t="s">
        <v>1229</v>
      </c>
      <c r="M50" s="65">
        <v>2.1999999999999999E-2</v>
      </c>
      <c r="N50" s="52"/>
      <c r="O50" s="52"/>
      <c r="P50" s="52"/>
    </row>
    <row r="51" spans="2:16" x14ac:dyDescent="0.2">
      <c r="C51" s="54" t="s">
        <v>1230</v>
      </c>
      <c r="M51" s="65">
        <v>1.6E-2</v>
      </c>
      <c r="N51" s="52"/>
      <c r="O51" s="52"/>
      <c r="P51" s="52"/>
    </row>
    <row r="52" spans="2:16" x14ac:dyDescent="0.2">
      <c r="N52" s="52"/>
      <c r="O52" s="52"/>
      <c r="P52" s="52"/>
    </row>
    <row r="53" spans="2:16" ht="21" customHeight="1" x14ac:dyDescent="0.2">
      <c r="B53" s="54" t="s">
        <v>39</v>
      </c>
      <c r="C53" s="54" t="s">
        <v>1343</v>
      </c>
      <c r="N53" s="52"/>
      <c r="O53" s="52"/>
      <c r="P53" s="52"/>
    </row>
    <row r="54" spans="2:16" x14ac:dyDescent="0.2">
      <c r="B54" s="54"/>
      <c r="N54" s="52"/>
      <c r="O54" s="52"/>
      <c r="P54" s="52"/>
    </row>
    <row r="55" spans="2:16" x14ac:dyDescent="0.2">
      <c r="B55" s="54" t="s">
        <v>40</v>
      </c>
      <c r="C55" s="553" t="s">
        <v>1344</v>
      </c>
      <c r="D55" s="553"/>
      <c r="E55" s="553"/>
      <c r="F55" s="553"/>
      <c r="G55" s="553"/>
      <c r="H55" s="553"/>
      <c r="I55" s="553"/>
      <c r="J55" s="553"/>
      <c r="K55" s="553"/>
      <c r="L55" s="553"/>
      <c r="M55" s="87">
        <v>39727.96</v>
      </c>
      <c r="N55" s="52"/>
      <c r="O55" s="52"/>
      <c r="P55" s="52"/>
    </row>
    <row r="56" spans="2:16" x14ac:dyDescent="0.2">
      <c r="B56" s="54"/>
      <c r="N56" s="52"/>
      <c r="O56" s="52"/>
      <c r="P56" s="52"/>
    </row>
    <row r="57" spans="2:16" x14ac:dyDescent="0.2">
      <c r="B57" s="531" t="s">
        <v>41</v>
      </c>
      <c r="C57" s="532" t="s">
        <v>1345</v>
      </c>
      <c r="D57" s="532"/>
      <c r="E57" s="532"/>
      <c r="F57" s="532"/>
      <c r="G57" s="532"/>
      <c r="H57" s="532"/>
      <c r="I57" s="532"/>
      <c r="J57" s="532"/>
      <c r="K57" s="532"/>
      <c r="L57" s="167"/>
      <c r="M57" s="87">
        <v>948.33</v>
      </c>
    </row>
    <row r="58" spans="2:16" x14ac:dyDescent="0.2">
      <c r="B58" s="54"/>
    </row>
    <row r="65" spans="2:2" ht="16.5" customHeight="1" x14ac:dyDescent="0.2"/>
    <row r="66" spans="2:2" ht="27" customHeight="1" x14ac:dyDescent="0.2"/>
    <row r="67" spans="2:2" ht="16.5" customHeight="1" x14ac:dyDescent="0.2"/>
    <row r="68" spans="2:2" ht="16.5" customHeight="1" x14ac:dyDescent="0.2"/>
    <row r="69" spans="2:2" ht="30" customHeight="1" x14ac:dyDescent="0.2"/>
    <row r="70" spans="2:2" ht="30" customHeight="1" x14ac:dyDescent="0.2"/>
    <row r="73" spans="2:2" s="60" customFormat="1" ht="18" customHeight="1" x14ac:dyDescent="0.25">
      <c r="B73" s="168"/>
    </row>
    <row r="87" spans="2:2" s="60" customFormat="1" ht="18" customHeight="1" x14ac:dyDescent="0.25">
      <c r="B87" s="168"/>
    </row>
    <row r="106" ht="18" customHeight="1" x14ac:dyDescent="0.2"/>
  </sheetData>
  <mergeCells count="33">
    <mergeCell ref="C28:L28"/>
    <mergeCell ref="C25:M25"/>
    <mergeCell ref="C21:E21"/>
    <mergeCell ref="C23:L23"/>
    <mergeCell ref="C15:E20"/>
    <mergeCell ref="F15:F20"/>
    <mergeCell ref="M15:P15"/>
    <mergeCell ref="I16:I20"/>
    <mergeCell ref="M16:N16"/>
    <mergeCell ref="P16:P20"/>
    <mergeCell ref="M17:N17"/>
    <mergeCell ref="O19:O20"/>
    <mergeCell ref="J16:J20"/>
    <mergeCell ref="K16:K20"/>
    <mergeCell ref="L16:L20"/>
    <mergeCell ref="G15:G20"/>
    <mergeCell ref="C31:L31"/>
    <mergeCell ref="C32:L32"/>
    <mergeCell ref="C33:L33"/>
    <mergeCell ref="C34:L34"/>
    <mergeCell ref="C35:L35"/>
    <mergeCell ref="C47:G47"/>
    <mergeCell ref="C55:L55"/>
    <mergeCell ref="C36:L36"/>
    <mergeCell ref="C37:L37"/>
    <mergeCell ref="C38:L38"/>
    <mergeCell ref="H15:H20"/>
    <mergeCell ref="I15:L15"/>
    <mergeCell ref="C4:M4"/>
    <mergeCell ref="C6:M6"/>
    <mergeCell ref="L7:M7"/>
    <mergeCell ref="C9:J9"/>
    <mergeCell ref="K7:K8"/>
  </mergeCells>
  <phoneticPr fontId="27" type="noConversion"/>
  <pageMargins left="0.31496062992125984" right="0.31496062992125984" top="0.39370078740157483" bottom="0.74803149606299213" header="0.31496062992125984" footer="0.31496062992125984"/>
  <pageSetup scale="58" orientation="landscape" r:id="rId1"/>
  <ignoredErrors>
    <ignoredError sqref="F21" formulaRange="1"/>
  </ignoredErrors>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7">
    <pageSetUpPr fitToPage="1"/>
  </sheetPr>
  <dimension ref="B2:P29"/>
  <sheetViews>
    <sheetView showGridLines="0" zoomScale="90" zoomScaleNormal="90" zoomScalePageLayoutView="85" workbookViewId="0"/>
  </sheetViews>
  <sheetFormatPr baseColWidth="10" defaultColWidth="11.42578125" defaultRowHeight="18.75" x14ac:dyDescent="0.3"/>
  <cols>
    <col min="1" max="1" width="4.7109375" customWidth="1"/>
    <col min="2" max="7" width="11.42578125" style="15"/>
    <col min="8" max="8" width="23.42578125" style="15" customWidth="1"/>
    <col min="9" max="9" width="5.5703125" style="15" bestFit="1" customWidth="1"/>
    <col min="10" max="14" width="4.7109375" style="11" customWidth="1"/>
    <col min="15" max="15" width="2.140625" style="15" bestFit="1" customWidth="1"/>
    <col min="18" max="18" width="11.85546875" bestFit="1" customWidth="1"/>
  </cols>
  <sheetData>
    <row r="2" spans="2:16" ht="15" x14ac:dyDescent="0.25">
      <c r="B2" s="741" t="s">
        <v>162</v>
      </c>
      <c r="C2" s="742"/>
      <c r="D2" s="742"/>
      <c r="E2" s="742"/>
      <c r="F2" s="742"/>
      <c r="G2" s="742"/>
      <c r="H2" s="742"/>
      <c r="I2" s="742"/>
      <c r="J2" s="742"/>
      <c r="K2" s="742"/>
      <c r="L2" s="742"/>
      <c r="M2" s="742"/>
      <c r="N2" s="742"/>
      <c r="O2" s="743"/>
    </row>
    <row r="3" spans="2:16" ht="15" x14ac:dyDescent="0.25">
      <c r="B3" s="744"/>
      <c r="C3" s="745"/>
      <c r="D3" s="745"/>
      <c r="E3" s="745"/>
      <c r="F3" s="745"/>
      <c r="G3" s="745"/>
      <c r="H3" s="745"/>
      <c r="I3" s="745"/>
      <c r="J3" s="745"/>
      <c r="K3" s="745"/>
      <c r="L3" s="745"/>
      <c r="M3" s="745"/>
      <c r="N3" s="745"/>
      <c r="O3" s="746"/>
    </row>
    <row r="4" spans="2:16" ht="18" customHeight="1" x14ac:dyDescent="0.25">
      <c r="B4" s="747" t="s">
        <v>163</v>
      </c>
      <c r="C4" s="748"/>
      <c r="D4" s="748"/>
      <c r="E4" s="748"/>
      <c r="F4" s="748"/>
      <c r="G4" s="748"/>
      <c r="H4" s="749"/>
      <c r="I4" s="243">
        <v>1145</v>
      </c>
      <c r="J4" s="767">
        <f>+'Razonabilidad CPT'!F4</f>
        <v>115653480</v>
      </c>
      <c r="K4" s="750"/>
      <c r="L4" s="750"/>
      <c r="M4" s="750"/>
      <c r="N4" s="751"/>
      <c r="O4" s="237" t="s">
        <v>97</v>
      </c>
      <c r="P4" s="12">
        <f>+IF(J4&gt;0,1,0)</f>
        <v>1</v>
      </c>
    </row>
    <row r="5" spans="2:16" ht="18" customHeight="1" x14ac:dyDescent="0.25">
      <c r="B5" s="752" t="s">
        <v>164</v>
      </c>
      <c r="C5" s="753"/>
      <c r="D5" s="753"/>
      <c r="E5" s="753"/>
      <c r="F5" s="753"/>
      <c r="G5" s="753"/>
      <c r="H5" s="754"/>
      <c r="I5" s="243">
        <v>1146</v>
      </c>
      <c r="J5" s="767"/>
      <c r="K5" s="750"/>
      <c r="L5" s="750"/>
      <c r="M5" s="750"/>
      <c r="N5" s="751"/>
      <c r="O5" s="400" t="s">
        <v>102</v>
      </c>
      <c r="P5" s="12">
        <f t="shared" ref="P5:P26" si="0">+IF(J5&gt;0,1,0)</f>
        <v>0</v>
      </c>
    </row>
    <row r="6" spans="2:16" ht="18" customHeight="1" x14ac:dyDescent="0.25">
      <c r="B6" s="383" t="s">
        <v>165</v>
      </c>
      <c r="C6" s="384"/>
      <c r="D6" s="384"/>
      <c r="E6" s="384"/>
      <c r="F6" s="384"/>
      <c r="G6" s="384"/>
      <c r="H6" s="415">
        <f>+Antecedentes!M49</f>
        <v>3.4000000000000002E-2</v>
      </c>
      <c r="I6" s="243">
        <v>1177</v>
      </c>
      <c r="J6" s="705">
        <f>ROUND(+J4*H6,0)</f>
        <v>3932218</v>
      </c>
      <c r="K6" s="706"/>
      <c r="L6" s="706"/>
      <c r="M6" s="706"/>
      <c r="N6" s="707"/>
      <c r="O6" s="400" t="s">
        <v>97</v>
      </c>
      <c r="P6" s="12">
        <f t="shared" si="0"/>
        <v>1</v>
      </c>
    </row>
    <row r="7" spans="2:16" ht="18" customHeight="1" x14ac:dyDescent="0.25">
      <c r="B7" s="747" t="s">
        <v>166</v>
      </c>
      <c r="C7" s="748"/>
      <c r="D7" s="748"/>
      <c r="E7" s="748"/>
      <c r="F7" s="748"/>
      <c r="G7" s="748"/>
      <c r="H7" s="749"/>
      <c r="I7" s="243">
        <v>893</v>
      </c>
      <c r="J7" s="767"/>
      <c r="K7" s="750"/>
      <c r="L7" s="750"/>
      <c r="M7" s="750"/>
      <c r="N7" s="751"/>
      <c r="O7" s="400" t="s">
        <v>97</v>
      </c>
      <c r="P7" s="12">
        <f t="shared" si="0"/>
        <v>0</v>
      </c>
    </row>
    <row r="8" spans="2:16" ht="18" customHeight="1" x14ac:dyDescent="0.25">
      <c r="B8" s="747" t="s">
        <v>167</v>
      </c>
      <c r="C8" s="748"/>
      <c r="D8" s="748"/>
      <c r="E8" s="748"/>
      <c r="F8" s="748"/>
      <c r="G8" s="748"/>
      <c r="H8" s="749"/>
      <c r="I8" s="243">
        <v>894</v>
      </c>
      <c r="J8" s="767"/>
      <c r="K8" s="750"/>
      <c r="L8" s="750"/>
      <c r="M8" s="750"/>
      <c r="N8" s="751"/>
      <c r="O8" s="400" t="s">
        <v>102</v>
      </c>
      <c r="P8" s="12">
        <f t="shared" si="0"/>
        <v>0</v>
      </c>
    </row>
    <row r="9" spans="2:16" ht="18" customHeight="1" x14ac:dyDescent="0.25">
      <c r="B9" s="747" t="s">
        <v>168</v>
      </c>
      <c r="C9" s="748"/>
      <c r="D9" s="748"/>
      <c r="E9" s="748"/>
      <c r="F9" s="748"/>
      <c r="G9" s="748"/>
      <c r="H9" s="749"/>
      <c r="I9" s="243">
        <v>1694</v>
      </c>
      <c r="J9" s="767">
        <f ca="1">+'R12'!K58</f>
        <v>89190933</v>
      </c>
      <c r="K9" s="750"/>
      <c r="L9" s="750"/>
      <c r="M9" s="750"/>
      <c r="N9" s="751"/>
      <c r="O9" s="400" t="s">
        <v>97</v>
      </c>
      <c r="P9" s="12">
        <f t="shared" ca="1" si="0"/>
        <v>1</v>
      </c>
    </row>
    <row r="10" spans="2:16" ht="18" customHeight="1" x14ac:dyDescent="0.25">
      <c r="B10" s="747" t="s">
        <v>169</v>
      </c>
      <c r="C10" s="748"/>
      <c r="D10" s="748"/>
      <c r="E10" s="748"/>
      <c r="F10" s="748"/>
      <c r="G10" s="748"/>
      <c r="H10" s="749"/>
      <c r="I10" s="243">
        <v>1695</v>
      </c>
      <c r="J10" s="767"/>
      <c r="K10" s="750"/>
      <c r="L10" s="750"/>
      <c r="M10" s="750"/>
      <c r="N10" s="751"/>
      <c r="O10" s="400" t="s">
        <v>102</v>
      </c>
      <c r="P10" s="12">
        <f t="shared" si="0"/>
        <v>0</v>
      </c>
    </row>
    <row r="11" spans="2:16" ht="18" customHeight="1" x14ac:dyDescent="0.25">
      <c r="B11" s="747" t="s">
        <v>146</v>
      </c>
      <c r="C11" s="748"/>
      <c r="D11" s="748"/>
      <c r="E11" s="748"/>
      <c r="F11" s="748"/>
      <c r="G11" s="748"/>
      <c r="H11" s="749"/>
      <c r="I11" s="243">
        <v>1696</v>
      </c>
      <c r="J11" s="767"/>
      <c r="K11" s="750"/>
      <c r="L11" s="750"/>
      <c r="M11" s="750"/>
      <c r="N11" s="751"/>
      <c r="O11" s="400" t="s">
        <v>97</v>
      </c>
      <c r="P11" s="12">
        <f t="shared" si="0"/>
        <v>0</v>
      </c>
    </row>
    <row r="12" spans="2:16" ht="18" customHeight="1" x14ac:dyDescent="0.25">
      <c r="B12" s="747" t="s">
        <v>170</v>
      </c>
      <c r="C12" s="748"/>
      <c r="D12" s="748"/>
      <c r="E12" s="748"/>
      <c r="F12" s="748"/>
      <c r="G12" s="748"/>
      <c r="H12" s="749"/>
      <c r="I12" s="243">
        <v>1178</v>
      </c>
      <c r="J12" s="767"/>
      <c r="K12" s="750"/>
      <c r="L12" s="750"/>
      <c r="M12" s="750"/>
      <c r="N12" s="751"/>
      <c r="O12" s="400" t="s">
        <v>97</v>
      </c>
      <c r="P12" s="12">
        <f t="shared" si="0"/>
        <v>0</v>
      </c>
    </row>
    <row r="13" spans="2:16" ht="18" customHeight="1" x14ac:dyDescent="0.25">
      <c r="B13" s="747" t="s">
        <v>171</v>
      </c>
      <c r="C13" s="748"/>
      <c r="D13" s="748"/>
      <c r="E13" s="748"/>
      <c r="F13" s="748"/>
      <c r="G13" s="748"/>
      <c r="H13" s="749"/>
      <c r="I13" s="243">
        <v>1179</v>
      </c>
      <c r="J13" s="767"/>
      <c r="K13" s="750"/>
      <c r="L13" s="750"/>
      <c r="M13" s="750"/>
      <c r="N13" s="751"/>
      <c r="O13" s="400" t="s">
        <v>102</v>
      </c>
      <c r="P13" s="12">
        <f t="shared" si="0"/>
        <v>0</v>
      </c>
    </row>
    <row r="14" spans="2:16" ht="18" customHeight="1" x14ac:dyDescent="0.25">
      <c r="B14" s="752" t="s">
        <v>172</v>
      </c>
      <c r="C14" s="753"/>
      <c r="D14" s="753"/>
      <c r="E14" s="753"/>
      <c r="F14" s="753"/>
      <c r="G14" s="753"/>
      <c r="H14" s="754"/>
      <c r="I14" s="392">
        <v>1180</v>
      </c>
      <c r="J14" s="755">
        <f ca="1">+'R12'!K50</f>
        <v>1000000</v>
      </c>
      <c r="K14" s="756"/>
      <c r="L14" s="756"/>
      <c r="M14" s="756"/>
      <c r="N14" s="757"/>
      <c r="O14" s="407" t="s">
        <v>97</v>
      </c>
      <c r="P14" s="12">
        <f t="shared" ca="1" si="0"/>
        <v>1</v>
      </c>
    </row>
    <row r="15" spans="2:16" ht="18" customHeight="1" x14ac:dyDescent="0.25">
      <c r="B15" s="768" t="s">
        <v>155</v>
      </c>
      <c r="C15" s="769"/>
      <c r="D15" s="769"/>
      <c r="E15" s="769"/>
      <c r="F15" s="769"/>
      <c r="G15" s="769"/>
      <c r="H15" s="770"/>
      <c r="I15" s="246">
        <v>1182</v>
      </c>
      <c r="J15" s="730">
        <f>+'RAI Final'!F5</f>
        <v>61284000</v>
      </c>
      <c r="K15" s="731"/>
      <c r="L15" s="731"/>
      <c r="M15" s="731"/>
      <c r="N15" s="732"/>
      <c r="O15" s="398" t="s">
        <v>102</v>
      </c>
      <c r="P15" s="12">
        <f t="shared" si="0"/>
        <v>1</v>
      </c>
    </row>
    <row r="16" spans="2:16" ht="18" customHeight="1" x14ac:dyDescent="0.25">
      <c r="B16" s="768" t="s">
        <v>120</v>
      </c>
      <c r="C16" s="769"/>
      <c r="D16" s="769"/>
      <c r="E16" s="769"/>
      <c r="F16" s="769"/>
      <c r="G16" s="769"/>
      <c r="H16" s="770"/>
      <c r="I16" s="246">
        <v>1697</v>
      </c>
      <c r="J16" s="730">
        <f ca="1">+'R12'!K27</f>
        <v>17606776</v>
      </c>
      <c r="K16" s="731"/>
      <c r="L16" s="731"/>
      <c r="M16" s="731"/>
      <c r="N16" s="732"/>
      <c r="O16" s="398" t="s">
        <v>102</v>
      </c>
      <c r="P16" s="12">
        <f t="shared" ca="1" si="0"/>
        <v>1</v>
      </c>
    </row>
    <row r="17" spans="2:16" ht="18" customHeight="1" x14ac:dyDescent="0.25">
      <c r="B17" s="768" t="s">
        <v>173</v>
      </c>
      <c r="C17" s="769"/>
      <c r="D17" s="769"/>
      <c r="E17" s="769"/>
      <c r="F17" s="769"/>
      <c r="G17" s="769"/>
      <c r="H17" s="770"/>
      <c r="I17" s="246">
        <v>1186</v>
      </c>
      <c r="J17" s="730"/>
      <c r="K17" s="731"/>
      <c r="L17" s="731"/>
      <c r="M17" s="731"/>
      <c r="N17" s="732"/>
      <c r="O17" s="398" t="s">
        <v>97</v>
      </c>
      <c r="P17" s="12">
        <f t="shared" si="0"/>
        <v>0</v>
      </c>
    </row>
    <row r="18" spans="2:16" ht="18" customHeight="1" x14ac:dyDescent="0.25">
      <c r="B18" s="768" t="s">
        <v>174</v>
      </c>
      <c r="C18" s="769"/>
      <c r="D18" s="769"/>
      <c r="E18" s="769"/>
      <c r="F18" s="769"/>
      <c r="G18" s="769"/>
      <c r="H18" s="770"/>
      <c r="I18" s="246">
        <v>1187</v>
      </c>
      <c r="J18" s="730"/>
      <c r="K18" s="731"/>
      <c r="L18" s="731"/>
      <c r="M18" s="731"/>
      <c r="N18" s="732"/>
      <c r="O18" s="398" t="s">
        <v>102</v>
      </c>
      <c r="P18" s="12">
        <f t="shared" si="0"/>
        <v>0</v>
      </c>
    </row>
    <row r="19" spans="2:16" ht="18" customHeight="1" x14ac:dyDescent="0.25">
      <c r="B19" s="768" t="s">
        <v>125</v>
      </c>
      <c r="C19" s="769"/>
      <c r="D19" s="769"/>
      <c r="E19" s="769"/>
      <c r="F19" s="769"/>
      <c r="G19" s="769"/>
      <c r="H19" s="770"/>
      <c r="I19" s="246">
        <v>1700</v>
      </c>
      <c r="J19" s="730"/>
      <c r="K19" s="731"/>
      <c r="L19" s="731"/>
      <c r="M19" s="731"/>
      <c r="N19" s="732"/>
      <c r="O19" s="398" t="s">
        <v>102</v>
      </c>
      <c r="P19" s="12">
        <f t="shared" si="0"/>
        <v>0</v>
      </c>
    </row>
    <row r="20" spans="2:16" ht="18" customHeight="1" x14ac:dyDescent="0.25">
      <c r="B20" s="768" t="s">
        <v>175</v>
      </c>
      <c r="C20" s="769"/>
      <c r="D20" s="769"/>
      <c r="E20" s="769"/>
      <c r="F20" s="769"/>
      <c r="G20" s="769"/>
      <c r="H20" s="770"/>
      <c r="I20" s="246">
        <v>1188</v>
      </c>
      <c r="J20" s="730">
        <f>'Crédito IPE'!K40</f>
        <v>1130242</v>
      </c>
      <c r="K20" s="731"/>
      <c r="L20" s="731"/>
      <c r="M20" s="731"/>
      <c r="N20" s="732"/>
      <c r="O20" s="398" t="s">
        <v>102</v>
      </c>
      <c r="P20" s="12">
        <f t="shared" si="0"/>
        <v>1</v>
      </c>
    </row>
    <row r="21" spans="2:16" ht="18" customHeight="1" x14ac:dyDescent="0.25">
      <c r="B21" s="768" t="s">
        <v>176</v>
      </c>
      <c r="C21" s="769"/>
      <c r="D21" s="769"/>
      <c r="E21" s="769"/>
      <c r="F21" s="769"/>
      <c r="G21" s="769"/>
      <c r="H21" s="770"/>
      <c r="I21" s="246">
        <v>1701</v>
      </c>
      <c r="J21" s="730">
        <f>+'Razonabilidad CPT'!F7</f>
        <v>10098976</v>
      </c>
      <c r="K21" s="731"/>
      <c r="L21" s="731"/>
      <c r="M21" s="731"/>
      <c r="N21" s="732"/>
      <c r="O21" s="398" t="s">
        <v>97</v>
      </c>
      <c r="P21" s="12">
        <f t="shared" si="0"/>
        <v>1</v>
      </c>
    </row>
    <row r="22" spans="2:16" ht="18" customHeight="1" x14ac:dyDescent="0.25">
      <c r="B22" s="768" t="s">
        <v>177</v>
      </c>
      <c r="C22" s="769"/>
      <c r="D22" s="769"/>
      <c r="E22" s="769"/>
      <c r="F22" s="769"/>
      <c r="G22" s="769"/>
      <c r="H22" s="770"/>
      <c r="I22" s="246">
        <v>1702</v>
      </c>
      <c r="J22" s="730"/>
      <c r="K22" s="731"/>
      <c r="L22" s="731"/>
      <c r="M22" s="731"/>
      <c r="N22" s="732"/>
      <c r="O22" s="398" t="s">
        <v>97</v>
      </c>
      <c r="P22" s="12">
        <f t="shared" si="0"/>
        <v>0</v>
      </c>
    </row>
    <row r="23" spans="2:16" ht="18" customHeight="1" x14ac:dyDescent="0.25">
      <c r="B23" s="768" t="s">
        <v>178</v>
      </c>
      <c r="C23" s="769"/>
      <c r="D23" s="769"/>
      <c r="E23" s="769"/>
      <c r="F23" s="769"/>
      <c r="G23" s="769"/>
      <c r="H23" s="770"/>
      <c r="I23" s="246">
        <v>1189</v>
      </c>
      <c r="J23" s="730"/>
      <c r="K23" s="731"/>
      <c r="L23" s="731"/>
      <c r="M23" s="731"/>
      <c r="N23" s="732"/>
      <c r="O23" s="398" t="s">
        <v>97</v>
      </c>
      <c r="P23" s="12">
        <f t="shared" si="0"/>
        <v>0</v>
      </c>
    </row>
    <row r="24" spans="2:16" ht="18" customHeight="1" x14ac:dyDescent="0.25">
      <c r="B24" s="758" t="s">
        <v>179</v>
      </c>
      <c r="C24" s="759"/>
      <c r="D24" s="759"/>
      <c r="E24" s="759"/>
      <c r="F24" s="759"/>
      <c r="G24" s="759"/>
      <c r="H24" s="760"/>
      <c r="I24" s="244">
        <v>1190</v>
      </c>
      <c r="J24" s="772"/>
      <c r="K24" s="739"/>
      <c r="L24" s="739"/>
      <c r="M24" s="739"/>
      <c r="N24" s="740"/>
      <c r="O24" s="237" t="s">
        <v>102</v>
      </c>
      <c r="P24" s="12">
        <f t="shared" si="0"/>
        <v>0</v>
      </c>
    </row>
    <row r="25" spans="2:16" ht="18" customHeight="1" x14ac:dyDescent="0.25">
      <c r="B25" s="752" t="s">
        <v>180</v>
      </c>
      <c r="C25" s="753"/>
      <c r="D25" s="753"/>
      <c r="E25" s="753"/>
      <c r="F25" s="753"/>
      <c r="G25" s="753"/>
      <c r="H25" s="754"/>
      <c r="I25" s="392">
        <v>645</v>
      </c>
      <c r="J25" s="755">
        <f ca="1">SUM(J4,J6:N7,J9,J11:N12,J14,J17,J21:N23)-SUM(J5,J8,J10,J13,J15:N16,J18:N20,J24)</f>
        <v>139854589</v>
      </c>
      <c r="K25" s="756"/>
      <c r="L25" s="756"/>
      <c r="M25" s="756"/>
      <c r="N25" s="757"/>
      <c r="O25" s="407" t="s">
        <v>64</v>
      </c>
      <c r="P25" s="12">
        <f t="shared" ca="1" si="0"/>
        <v>1</v>
      </c>
    </row>
    <row r="26" spans="2:16" ht="18" customHeight="1" x14ac:dyDescent="0.25">
      <c r="B26" s="768" t="s">
        <v>181</v>
      </c>
      <c r="C26" s="769"/>
      <c r="D26" s="769"/>
      <c r="E26" s="769"/>
      <c r="F26" s="769"/>
      <c r="G26" s="769"/>
      <c r="H26" s="770"/>
      <c r="I26" s="246">
        <v>646</v>
      </c>
      <c r="J26" s="773"/>
      <c r="K26" s="733"/>
      <c r="L26" s="733"/>
      <c r="M26" s="733"/>
      <c r="N26" s="734"/>
      <c r="O26" s="398" t="s">
        <v>64</v>
      </c>
      <c r="P26" s="12">
        <f t="shared" si="0"/>
        <v>0</v>
      </c>
    </row>
    <row r="27" spans="2:16" ht="19.5" customHeight="1" x14ac:dyDescent="0.25">
      <c r="B27" s="52"/>
      <c r="C27" s="52"/>
      <c r="D27" s="52"/>
      <c r="E27" s="52"/>
      <c r="F27" s="52"/>
      <c r="G27" s="52"/>
      <c r="H27" s="52"/>
      <c r="I27" s="52"/>
      <c r="J27" s="739"/>
      <c r="K27" s="771"/>
      <c r="L27" s="771"/>
      <c r="M27" s="771"/>
      <c r="N27" s="771"/>
      <c r="O27" s="52"/>
    </row>
    <row r="28" spans="2:16" x14ac:dyDescent="0.3">
      <c r="B28" s="24"/>
      <c r="C28" s="14"/>
      <c r="D28" s="14"/>
      <c r="E28" s="14"/>
      <c r="F28" s="14"/>
      <c r="G28" s="14"/>
      <c r="H28" s="14"/>
      <c r="I28" s="14"/>
      <c r="O28" s="14"/>
    </row>
    <row r="29" spans="2:16" x14ac:dyDescent="0.3">
      <c r="B29" s="14"/>
      <c r="C29" s="14"/>
      <c r="D29" s="14"/>
      <c r="E29" s="14"/>
      <c r="F29" s="14"/>
      <c r="G29" s="14"/>
      <c r="H29" s="14"/>
      <c r="I29" s="14"/>
      <c r="O29" s="14"/>
    </row>
  </sheetData>
  <mergeCells count="47">
    <mergeCell ref="J27:N27"/>
    <mergeCell ref="B24:H24"/>
    <mergeCell ref="J24:N24"/>
    <mergeCell ref="B25:H25"/>
    <mergeCell ref="J25:N25"/>
    <mergeCell ref="B26:H26"/>
    <mergeCell ref="J26:N26"/>
    <mergeCell ref="B21:H21"/>
    <mergeCell ref="J21:N21"/>
    <mergeCell ref="B22:H22"/>
    <mergeCell ref="J22:N22"/>
    <mergeCell ref="B23:H23"/>
    <mergeCell ref="J23:N23"/>
    <mergeCell ref="B18:H18"/>
    <mergeCell ref="J18:N18"/>
    <mergeCell ref="B19:H19"/>
    <mergeCell ref="J19:N19"/>
    <mergeCell ref="B20:H20"/>
    <mergeCell ref="J20:N20"/>
    <mergeCell ref="B15:H15"/>
    <mergeCell ref="J15:N15"/>
    <mergeCell ref="B16:H16"/>
    <mergeCell ref="J16:N16"/>
    <mergeCell ref="B17:H17"/>
    <mergeCell ref="J17:N17"/>
    <mergeCell ref="B13:H13"/>
    <mergeCell ref="J13:N13"/>
    <mergeCell ref="B14:H14"/>
    <mergeCell ref="J14:N14"/>
    <mergeCell ref="B10:H10"/>
    <mergeCell ref="J10:N10"/>
    <mergeCell ref="B11:H11"/>
    <mergeCell ref="J11:N11"/>
    <mergeCell ref="B12:H12"/>
    <mergeCell ref="J12:N12"/>
    <mergeCell ref="B9:H9"/>
    <mergeCell ref="J9:N9"/>
    <mergeCell ref="B2:O3"/>
    <mergeCell ref="B4:H4"/>
    <mergeCell ref="J4:N4"/>
    <mergeCell ref="B5:H5"/>
    <mergeCell ref="J5:N5"/>
    <mergeCell ref="J6:N6"/>
    <mergeCell ref="B7:H7"/>
    <mergeCell ref="J7:N7"/>
    <mergeCell ref="B8:H8"/>
    <mergeCell ref="J8:N8"/>
  </mergeCells>
  <phoneticPr fontId="27" type="noConversion"/>
  <pageMargins left="0.24" right="0.43"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6CB3-D5A7-4E51-A3CA-4098AED58322}">
  <dimension ref="B2:S21"/>
  <sheetViews>
    <sheetView showGridLines="0" zoomScale="90" zoomScaleNormal="90" workbookViewId="0"/>
  </sheetViews>
  <sheetFormatPr baseColWidth="10" defaultColWidth="11.42578125" defaultRowHeight="12.75" x14ac:dyDescent="0.2"/>
  <cols>
    <col min="1" max="1" width="3.28515625" style="159" customWidth="1"/>
    <col min="2" max="2" width="48.140625" style="159" customWidth="1"/>
    <col min="3" max="3" width="5.5703125" style="159" bestFit="1" customWidth="1"/>
    <col min="4" max="4" width="17.140625" style="159" customWidth="1"/>
    <col min="5" max="5" width="5.5703125" style="159" bestFit="1" customWidth="1"/>
    <col min="6" max="6" width="17.140625" style="159" customWidth="1"/>
    <col min="7" max="7" width="5.5703125" style="159" bestFit="1" customWidth="1"/>
    <col min="8" max="8" width="17.140625" style="159" customWidth="1"/>
    <col min="9" max="9" width="5.5703125" style="159" bestFit="1" customWidth="1"/>
    <col min="10" max="10" width="17.140625" style="159" customWidth="1"/>
    <col min="11" max="11" width="5.5703125" style="159" bestFit="1" customWidth="1"/>
    <col min="12" max="12" width="17.140625" style="159" customWidth="1"/>
    <col min="13" max="13" width="5.5703125" style="159" bestFit="1" customWidth="1"/>
    <col min="14" max="14" width="17.140625" style="159" customWidth="1"/>
    <col min="15" max="15" width="5.5703125" style="159" bestFit="1" customWidth="1"/>
    <col min="16" max="16" width="17.140625" style="159" customWidth="1"/>
    <col min="17" max="17" width="5.5703125" style="159" bestFit="1" customWidth="1"/>
    <col min="18" max="18" width="17.140625" style="159" customWidth="1"/>
    <col min="19" max="19" width="3.28515625" style="159" bestFit="1" customWidth="1"/>
    <col min="20" max="16384" width="11.42578125" style="159"/>
  </cols>
  <sheetData>
    <row r="2" spans="2:19" ht="26.25" customHeight="1" x14ac:dyDescent="0.2">
      <c r="B2" s="774" t="s">
        <v>182</v>
      </c>
      <c r="C2" s="775"/>
      <c r="D2" s="775"/>
      <c r="E2" s="775"/>
      <c r="F2" s="775"/>
      <c r="G2" s="775"/>
      <c r="H2" s="775"/>
      <c r="I2" s="775"/>
      <c r="J2" s="775"/>
      <c r="K2" s="775"/>
      <c r="L2" s="775"/>
      <c r="M2" s="775"/>
      <c r="N2" s="775"/>
      <c r="O2" s="775"/>
      <c r="P2" s="775"/>
      <c r="Q2" s="775"/>
      <c r="R2" s="775"/>
      <c r="S2" s="776"/>
    </row>
    <row r="3" spans="2:19" ht="15" customHeight="1" x14ac:dyDescent="0.2">
      <c r="B3" s="418"/>
      <c r="C3" s="777" t="s">
        <v>10</v>
      </c>
      <c r="D3" s="778"/>
      <c r="E3" s="777" t="s">
        <v>11</v>
      </c>
      <c r="F3" s="778"/>
      <c r="G3" s="783" t="s">
        <v>12</v>
      </c>
      <c r="H3" s="784"/>
      <c r="I3" s="784"/>
      <c r="J3" s="784"/>
      <c r="K3" s="784"/>
      <c r="L3" s="784"/>
      <c r="M3" s="784"/>
      <c r="N3" s="784"/>
      <c r="O3" s="784"/>
      <c r="P3" s="785"/>
      <c r="Q3" s="777" t="s">
        <v>19</v>
      </c>
      <c r="R3" s="778"/>
      <c r="S3" s="421"/>
    </row>
    <row r="4" spans="2:19" ht="15" customHeight="1" x14ac:dyDescent="0.2">
      <c r="B4" s="422"/>
      <c r="C4" s="779"/>
      <c r="D4" s="780"/>
      <c r="E4" s="779"/>
      <c r="F4" s="780"/>
      <c r="G4" s="783" t="s">
        <v>183</v>
      </c>
      <c r="H4" s="784"/>
      <c r="I4" s="784"/>
      <c r="J4" s="784"/>
      <c r="K4" s="784"/>
      <c r="L4" s="785"/>
      <c r="M4" s="779" t="s">
        <v>184</v>
      </c>
      <c r="N4" s="780"/>
      <c r="O4" s="779" t="s">
        <v>185</v>
      </c>
      <c r="P4" s="780"/>
      <c r="Q4" s="779"/>
      <c r="R4" s="780"/>
      <c r="S4" s="425"/>
    </row>
    <row r="5" spans="2:19" ht="40.5" customHeight="1" x14ac:dyDescent="0.2">
      <c r="B5" s="426"/>
      <c r="C5" s="781"/>
      <c r="D5" s="782"/>
      <c r="E5" s="781"/>
      <c r="F5" s="782"/>
      <c r="G5" s="781" t="s">
        <v>186</v>
      </c>
      <c r="H5" s="782"/>
      <c r="I5" s="781" t="s">
        <v>187</v>
      </c>
      <c r="J5" s="782"/>
      <c r="K5" s="781" t="s">
        <v>188</v>
      </c>
      <c r="L5" s="782"/>
      <c r="M5" s="781"/>
      <c r="N5" s="782"/>
      <c r="O5" s="781"/>
      <c r="P5" s="782"/>
      <c r="Q5" s="781"/>
      <c r="R5" s="782"/>
      <c r="S5" s="412"/>
    </row>
    <row r="6" spans="2:19" ht="30.75" customHeight="1" x14ac:dyDescent="0.2">
      <c r="B6" s="422" t="s">
        <v>189</v>
      </c>
      <c r="C6" s="423">
        <v>1200</v>
      </c>
      <c r="D6" s="428">
        <f>RTRE!G11</f>
        <v>13161672</v>
      </c>
      <c r="E6" s="429">
        <v>1211</v>
      </c>
      <c r="F6" s="430">
        <f>RTRE!H11</f>
        <v>84953</v>
      </c>
      <c r="G6" s="431">
        <v>1221</v>
      </c>
      <c r="H6" s="432"/>
      <c r="I6" s="429">
        <v>1730</v>
      </c>
      <c r="J6" s="433"/>
      <c r="K6" s="431">
        <v>1731</v>
      </c>
      <c r="L6" s="433"/>
      <c r="M6" s="431">
        <v>1234</v>
      </c>
      <c r="N6" s="434">
        <f>RTRE!K11</f>
        <v>53096</v>
      </c>
      <c r="O6" s="431">
        <v>1246</v>
      </c>
      <c r="P6" s="430">
        <f>RTRE!L11</f>
        <v>127430</v>
      </c>
      <c r="Q6" s="423">
        <v>1260</v>
      </c>
      <c r="R6" s="435"/>
      <c r="S6" s="424" t="s">
        <v>97</v>
      </c>
    </row>
    <row r="7" spans="2:19" ht="28.5" customHeight="1" x14ac:dyDescent="0.2">
      <c r="B7" s="418" t="s">
        <v>190</v>
      </c>
      <c r="C7" s="447"/>
      <c r="D7" s="448"/>
      <c r="E7" s="447"/>
      <c r="F7" s="448"/>
      <c r="G7" s="429">
        <v>1222</v>
      </c>
      <c r="H7" s="437"/>
      <c r="I7" s="447"/>
      <c r="J7" s="449"/>
      <c r="K7" s="429">
        <v>1843</v>
      </c>
      <c r="L7" s="437"/>
      <c r="M7" s="429">
        <v>1235</v>
      </c>
      <c r="N7" s="430"/>
      <c r="O7" s="429">
        <v>1247</v>
      </c>
      <c r="P7" s="430"/>
      <c r="Q7" s="447"/>
      <c r="R7" s="450"/>
      <c r="S7" s="420" t="s">
        <v>102</v>
      </c>
    </row>
    <row r="8" spans="2:19" ht="30" customHeight="1" x14ac:dyDescent="0.2">
      <c r="B8" s="418" t="s">
        <v>191</v>
      </c>
      <c r="C8" s="431">
        <v>1933</v>
      </c>
      <c r="D8" s="430"/>
      <c r="E8" s="447"/>
      <c r="F8" s="448"/>
      <c r="G8" s="447"/>
      <c r="H8" s="449"/>
      <c r="I8" s="431">
        <v>1934</v>
      </c>
      <c r="J8" s="437"/>
      <c r="K8" s="447"/>
      <c r="L8" s="449"/>
      <c r="M8" s="447"/>
      <c r="N8" s="448"/>
      <c r="O8" s="447"/>
      <c r="P8" s="448"/>
      <c r="Q8" s="431">
        <v>1935</v>
      </c>
      <c r="R8" s="438"/>
      <c r="S8" s="420" t="s">
        <v>192</v>
      </c>
    </row>
    <row r="9" spans="2:19" ht="19.5" customHeight="1" x14ac:dyDescent="0.2">
      <c r="B9" s="418" t="s">
        <v>173</v>
      </c>
      <c r="C9" s="431">
        <v>1202</v>
      </c>
      <c r="D9" s="430"/>
      <c r="E9" s="431">
        <v>1212</v>
      </c>
      <c r="F9" s="430"/>
      <c r="G9" s="431">
        <v>1224</v>
      </c>
      <c r="H9" s="437"/>
      <c r="I9" s="431">
        <v>1733</v>
      </c>
      <c r="J9" s="437"/>
      <c r="K9" s="431">
        <v>1734</v>
      </c>
      <c r="L9" s="437"/>
      <c r="M9" s="431">
        <v>1236</v>
      </c>
      <c r="N9" s="430"/>
      <c r="O9" s="431">
        <v>1248</v>
      </c>
      <c r="P9" s="430"/>
      <c r="Q9" s="431">
        <v>1262</v>
      </c>
      <c r="R9" s="438"/>
      <c r="S9" s="420" t="s">
        <v>97</v>
      </c>
    </row>
    <row r="10" spans="2:19" ht="19.5" customHeight="1" x14ac:dyDescent="0.2">
      <c r="B10" s="418" t="s">
        <v>174</v>
      </c>
      <c r="C10" s="431">
        <v>1203</v>
      </c>
      <c r="D10" s="430"/>
      <c r="E10" s="431">
        <v>1213</v>
      </c>
      <c r="F10" s="430"/>
      <c r="G10" s="431">
        <v>1225</v>
      </c>
      <c r="H10" s="437"/>
      <c r="I10" s="431">
        <v>1735</v>
      </c>
      <c r="J10" s="414"/>
      <c r="K10" s="431">
        <v>1736</v>
      </c>
      <c r="L10" s="437"/>
      <c r="M10" s="431">
        <v>1237</v>
      </c>
      <c r="N10" s="430"/>
      <c r="O10" s="431">
        <v>1249</v>
      </c>
      <c r="P10" s="430"/>
      <c r="Q10" s="431">
        <v>1263</v>
      </c>
      <c r="R10" s="438"/>
      <c r="S10" s="420" t="s">
        <v>102</v>
      </c>
    </row>
    <row r="11" spans="2:19" ht="19.5" customHeight="1" x14ac:dyDescent="0.2">
      <c r="B11" s="418" t="s">
        <v>193</v>
      </c>
      <c r="C11" s="431">
        <v>1204</v>
      </c>
      <c r="D11" s="439">
        <f>-RTRE!G13</f>
        <v>13161672</v>
      </c>
      <c r="E11" s="431">
        <v>1214</v>
      </c>
      <c r="F11" s="430"/>
      <c r="G11" s="431">
        <v>1226</v>
      </c>
      <c r="H11" s="437"/>
      <c r="I11" s="429">
        <v>1737</v>
      </c>
      <c r="J11" s="437"/>
      <c r="K11" s="431">
        <v>1738</v>
      </c>
      <c r="L11" s="437"/>
      <c r="M11" s="431">
        <v>1238</v>
      </c>
      <c r="N11" s="430"/>
      <c r="O11" s="431">
        <v>1250</v>
      </c>
      <c r="P11" s="430"/>
      <c r="Q11" s="431">
        <v>1264</v>
      </c>
      <c r="R11" s="438"/>
      <c r="S11" s="420" t="s">
        <v>102</v>
      </c>
    </row>
    <row r="12" spans="2:19" ht="19.5" customHeight="1" x14ac:dyDescent="0.2">
      <c r="B12" s="436" t="s">
        <v>194</v>
      </c>
      <c r="C12" s="429">
        <v>1205</v>
      </c>
      <c r="D12" s="440">
        <f ca="1">RTRE!G14</f>
        <v>80382996</v>
      </c>
      <c r="E12" s="429">
        <v>1215</v>
      </c>
      <c r="F12" s="441"/>
      <c r="G12" s="451"/>
      <c r="H12" s="452"/>
      <c r="I12" s="453"/>
      <c r="J12" s="452"/>
      <c r="K12" s="429">
        <v>1740</v>
      </c>
      <c r="L12" s="442"/>
      <c r="M12" s="429">
        <v>1239</v>
      </c>
      <c r="N12" s="441"/>
      <c r="O12" s="429">
        <v>1251</v>
      </c>
      <c r="P12" s="441"/>
      <c r="Q12" s="453"/>
      <c r="R12" s="457"/>
      <c r="S12" s="385" t="s">
        <v>97</v>
      </c>
    </row>
    <row r="13" spans="2:19" ht="19.5" customHeight="1" x14ac:dyDescent="0.2">
      <c r="B13" s="426" t="s">
        <v>195</v>
      </c>
      <c r="C13" s="443">
        <v>1206</v>
      </c>
      <c r="D13" s="444"/>
      <c r="E13" s="443">
        <v>1216</v>
      </c>
      <c r="F13" s="444"/>
      <c r="G13" s="443">
        <v>1228</v>
      </c>
      <c r="H13" s="445"/>
      <c r="I13" s="429">
        <v>1741</v>
      </c>
      <c r="J13" s="445"/>
      <c r="K13" s="443">
        <v>1742</v>
      </c>
      <c r="L13" s="445"/>
      <c r="M13" s="443">
        <v>1240</v>
      </c>
      <c r="N13" s="444"/>
      <c r="O13" s="443">
        <v>1252</v>
      </c>
      <c r="P13" s="444"/>
      <c r="Q13" s="443">
        <v>1265</v>
      </c>
      <c r="R13" s="446"/>
      <c r="S13" s="427" t="s">
        <v>97</v>
      </c>
    </row>
    <row r="14" spans="2:19" ht="19.5" customHeight="1" x14ac:dyDescent="0.2">
      <c r="B14" s="426" t="s">
        <v>196</v>
      </c>
      <c r="C14" s="443">
        <v>1207</v>
      </c>
      <c r="D14" s="444"/>
      <c r="E14" s="443">
        <v>1217</v>
      </c>
      <c r="F14" s="444"/>
      <c r="G14" s="443">
        <v>1229</v>
      </c>
      <c r="H14" s="445"/>
      <c r="I14" s="443">
        <v>1743</v>
      </c>
      <c r="J14" s="445"/>
      <c r="K14" s="443">
        <v>1744</v>
      </c>
      <c r="L14" s="445"/>
      <c r="M14" s="443">
        <v>1241</v>
      </c>
      <c r="N14" s="444"/>
      <c r="O14" s="443">
        <v>1253</v>
      </c>
      <c r="P14" s="444"/>
      <c r="Q14" s="443">
        <v>1266</v>
      </c>
      <c r="R14" s="446"/>
      <c r="S14" s="427" t="s">
        <v>102</v>
      </c>
    </row>
    <row r="15" spans="2:19" ht="27.75" customHeight="1" x14ac:dyDescent="0.2">
      <c r="B15" s="426" t="s">
        <v>197</v>
      </c>
      <c r="C15" s="443">
        <v>1208</v>
      </c>
      <c r="D15" s="444">
        <f>-(RTRE!G20+RTRE!G22)</f>
        <v>61284000</v>
      </c>
      <c r="E15" s="443">
        <v>1218</v>
      </c>
      <c r="F15" s="444"/>
      <c r="G15" s="443">
        <v>1230</v>
      </c>
      <c r="H15" s="445"/>
      <c r="I15" s="443">
        <v>1745</v>
      </c>
      <c r="J15" s="445"/>
      <c r="K15" s="443">
        <v>1746</v>
      </c>
      <c r="L15" s="445"/>
      <c r="M15" s="443">
        <v>1242</v>
      </c>
      <c r="N15" s="444"/>
      <c r="O15" s="443">
        <v>1254</v>
      </c>
      <c r="P15" s="444"/>
      <c r="Q15" s="443">
        <v>1267</v>
      </c>
      <c r="R15" s="446"/>
      <c r="S15" s="427" t="s">
        <v>102</v>
      </c>
    </row>
    <row r="16" spans="2:19" ht="27" customHeight="1" x14ac:dyDescent="0.2">
      <c r="B16" s="426" t="s">
        <v>198</v>
      </c>
      <c r="C16" s="443">
        <v>1209</v>
      </c>
      <c r="D16" s="444"/>
      <c r="E16" s="443">
        <v>1219</v>
      </c>
      <c r="F16" s="444"/>
      <c r="G16" s="443">
        <v>1231</v>
      </c>
      <c r="H16" s="445"/>
      <c r="I16" s="443">
        <v>1747</v>
      </c>
      <c r="J16" s="445"/>
      <c r="K16" s="443">
        <v>1748</v>
      </c>
      <c r="L16" s="445"/>
      <c r="M16" s="443">
        <v>1243</v>
      </c>
      <c r="N16" s="444"/>
      <c r="O16" s="443">
        <v>1255</v>
      </c>
      <c r="P16" s="444"/>
      <c r="Q16" s="443">
        <v>1268</v>
      </c>
      <c r="R16" s="446"/>
      <c r="S16" s="427" t="s">
        <v>102</v>
      </c>
    </row>
    <row r="17" spans="2:19" ht="17.25" customHeight="1" x14ac:dyDescent="0.2">
      <c r="B17" s="426" t="s">
        <v>199</v>
      </c>
      <c r="C17" s="443">
        <v>1210</v>
      </c>
      <c r="D17" s="444">
        <f ca="1">RTRE!G27</f>
        <v>19098996</v>
      </c>
      <c r="E17" s="443">
        <v>1220</v>
      </c>
      <c r="F17" s="444">
        <f>RTRE!H27</f>
        <v>84953</v>
      </c>
      <c r="G17" s="443">
        <v>1232</v>
      </c>
      <c r="H17" s="445"/>
      <c r="I17" s="443">
        <v>1749</v>
      </c>
      <c r="J17" s="445"/>
      <c r="K17" s="443">
        <v>1750</v>
      </c>
      <c r="L17" s="445"/>
      <c r="M17" s="443">
        <v>1244</v>
      </c>
      <c r="N17" s="444">
        <f>RTRE!K27</f>
        <v>53096</v>
      </c>
      <c r="O17" s="443">
        <v>1256</v>
      </c>
      <c r="P17" s="444">
        <f>RTRE!L27</f>
        <v>127430</v>
      </c>
      <c r="Q17" s="443">
        <v>1269</v>
      </c>
      <c r="R17" s="446"/>
      <c r="S17" s="427" t="s">
        <v>64</v>
      </c>
    </row>
    <row r="18" spans="2:19" ht="17.25" customHeight="1" x14ac:dyDescent="0.2">
      <c r="B18" s="426" t="s">
        <v>200</v>
      </c>
      <c r="C18" s="454"/>
      <c r="D18" s="455"/>
      <c r="E18" s="454"/>
      <c r="F18" s="455"/>
      <c r="G18" s="443">
        <v>1233</v>
      </c>
      <c r="H18" s="445"/>
      <c r="I18" s="454"/>
      <c r="J18" s="455"/>
      <c r="K18" s="443">
        <v>1844</v>
      </c>
      <c r="L18" s="445"/>
      <c r="M18" s="443">
        <v>1245</v>
      </c>
      <c r="N18" s="444"/>
      <c r="O18" s="443">
        <v>1257</v>
      </c>
      <c r="P18" s="444"/>
      <c r="Q18" s="454"/>
      <c r="R18" s="456"/>
      <c r="S18" s="427" t="s">
        <v>64</v>
      </c>
    </row>
    <row r="20" spans="2:19" x14ac:dyDescent="0.2">
      <c r="D20" s="169"/>
      <c r="F20" s="169"/>
      <c r="N20" s="169"/>
      <c r="P20" s="169"/>
    </row>
    <row r="21" spans="2:19" x14ac:dyDescent="0.2">
      <c r="D21" s="169"/>
      <c r="F21" s="169"/>
      <c r="N21" s="169"/>
      <c r="P21" s="169"/>
    </row>
  </sheetData>
  <mergeCells count="11">
    <mergeCell ref="B2:S2"/>
    <mergeCell ref="C3:D5"/>
    <mergeCell ref="E3:F5"/>
    <mergeCell ref="G3:P3"/>
    <mergeCell ref="G4:L4"/>
    <mergeCell ref="Q3:R5"/>
    <mergeCell ref="G5:H5"/>
    <mergeCell ref="I5:J5"/>
    <mergeCell ref="K5:L5"/>
    <mergeCell ref="M4:N5"/>
    <mergeCell ref="O4:P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02FB7-508D-479F-9EBF-FE0AB3C1ED9A}">
  <dimension ref="B2:S22"/>
  <sheetViews>
    <sheetView showGridLines="0" zoomScale="90" zoomScaleNormal="90" workbookViewId="0"/>
  </sheetViews>
  <sheetFormatPr baseColWidth="10" defaultColWidth="11.42578125" defaultRowHeight="12.75" x14ac:dyDescent="0.2"/>
  <cols>
    <col min="1" max="1" width="6.28515625" style="159" customWidth="1"/>
    <col min="2" max="2" width="47.85546875" style="159" customWidth="1"/>
    <col min="3" max="3" width="5.5703125" style="159" bestFit="1" customWidth="1"/>
    <col min="4" max="4" width="14.28515625" style="159" customWidth="1"/>
    <col min="5" max="5" width="5.5703125" style="159" bestFit="1" customWidth="1"/>
    <col min="6" max="6" width="14.28515625" style="159" customWidth="1"/>
    <col min="7" max="7" width="5.5703125" style="159" bestFit="1" customWidth="1"/>
    <col min="8" max="8" width="14.28515625" style="159" customWidth="1"/>
    <col min="9" max="9" width="5.5703125" style="159" bestFit="1" customWidth="1"/>
    <col min="10" max="10" width="14.28515625" style="159" customWidth="1"/>
    <col min="11" max="11" width="5.5703125" style="159" bestFit="1" customWidth="1"/>
    <col min="12" max="12" width="14.28515625" style="159" customWidth="1"/>
    <col min="13" max="13" width="5.5703125" style="159" bestFit="1" customWidth="1"/>
    <col min="14" max="14" width="14.28515625" style="159" customWidth="1"/>
    <col min="15" max="15" width="5.5703125" style="159" bestFit="1" customWidth="1"/>
    <col min="16" max="16" width="14.28515625" style="159" customWidth="1"/>
    <col min="17" max="17" width="5.5703125" style="159" bestFit="1" customWidth="1"/>
    <col min="18" max="18" width="14.28515625" style="159" customWidth="1"/>
    <col min="19" max="19" width="2.140625" style="159" bestFit="1" customWidth="1"/>
    <col min="20" max="16384" width="11.42578125" style="159"/>
  </cols>
  <sheetData>
    <row r="2" spans="2:19" ht="23.25" customHeight="1" x14ac:dyDescent="0.2">
      <c r="B2" s="786" t="s">
        <v>201</v>
      </c>
      <c r="C2" s="787"/>
      <c r="D2" s="787"/>
      <c r="E2" s="787"/>
      <c r="F2" s="787"/>
      <c r="G2" s="787"/>
      <c r="H2" s="787"/>
      <c r="I2" s="787"/>
      <c r="J2" s="787"/>
      <c r="K2" s="787"/>
      <c r="L2" s="787"/>
      <c r="M2" s="787"/>
      <c r="N2" s="787"/>
      <c r="O2" s="787"/>
      <c r="P2" s="787"/>
      <c r="Q2" s="787"/>
      <c r="R2" s="787"/>
      <c r="S2" s="788"/>
    </row>
    <row r="3" spans="2:19" ht="15" customHeight="1" x14ac:dyDescent="0.2">
      <c r="B3" s="418" t="s">
        <v>202</v>
      </c>
      <c r="C3" s="784" t="s">
        <v>203</v>
      </c>
      <c r="D3" s="784"/>
      <c r="E3" s="784"/>
      <c r="F3" s="784"/>
      <c r="G3" s="784"/>
      <c r="H3" s="784"/>
      <c r="I3" s="784"/>
      <c r="J3" s="784"/>
      <c r="K3" s="784"/>
      <c r="L3" s="785"/>
      <c r="M3" s="784" t="s">
        <v>204</v>
      </c>
      <c r="N3" s="784"/>
      <c r="O3" s="784"/>
      <c r="P3" s="784"/>
      <c r="Q3" s="784"/>
      <c r="R3" s="785"/>
      <c r="S3" s="461"/>
    </row>
    <row r="4" spans="2:19" ht="15" customHeight="1" x14ac:dyDescent="0.2">
      <c r="B4" s="422"/>
      <c r="C4" s="783" t="s">
        <v>205</v>
      </c>
      <c r="D4" s="784"/>
      <c r="E4" s="784"/>
      <c r="F4" s="785"/>
      <c r="G4" s="783" t="s">
        <v>206</v>
      </c>
      <c r="H4" s="784"/>
      <c r="I4" s="784"/>
      <c r="J4" s="785"/>
      <c r="K4" s="779" t="s">
        <v>207</v>
      </c>
      <c r="L4" s="780"/>
      <c r="M4" s="777" t="s">
        <v>208</v>
      </c>
      <c r="N4" s="778"/>
      <c r="O4" s="777" t="s">
        <v>209</v>
      </c>
      <c r="P4" s="778"/>
      <c r="Q4" s="779" t="s">
        <v>207</v>
      </c>
      <c r="R4" s="780"/>
      <c r="S4" s="425"/>
    </row>
    <row r="5" spans="2:19" ht="15" customHeight="1" x14ac:dyDescent="0.2">
      <c r="B5" s="422"/>
      <c r="C5" s="784" t="s">
        <v>208</v>
      </c>
      <c r="D5" s="785"/>
      <c r="E5" s="781" t="s">
        <v>209</v>
      </c>
      <c r="F5" s="782"/>
      <c r="G5" s="781" t="s">
        <v>208</v>
      </c>
      <c r="H5" s="782"/>
      <c r="I5" s="781" t="s">
        <v>209</v>
      </c>
      <c r="J5" s="782"/>
      <c r="K5" s="781"/>
      <c r="L5" s="782"/>
      <c r="M5" s="781"/>
      <c r="N5" s="782"/>
      <c r="O5" s="781"/>
      <c r="P5" s="782"/>
      <c r="Q5" s="779"/>
      <c r="R5" s="780"/>
      <c r="S5" s="425"/>
    </row>
    <row r="6" spans="2:19" ht="30" customHeight="1" x14ac:dyDescent="0.2">
      <c r="B6" s="418" t="s">
        <v>210</v>
      </c>
      <c r="C6" s="431">
        <v>1270</v>
      </c>
      <c r="D6" s="437"/>
      <c r="E6" s="431">
        <v>1279</v>
      </c>
      <c r="F6" s="437"/>
      <c r="G6" s="431">
        <v>1288</v>
      </c>
      <c r="H6" s="458"/>
      <c r="I6" s="431">
        <v>1301</v>
      </c>
      <c r="J6" s="458"/>
      <c r="K6" s="429">
        <v>1313</v>
      </c>
      <c r="L6" s="458"/>
      <c r="M6" s="419">
        <v>1324</v>
      </c>
      <c r="N6" s="462"/>
      <c r="O6" s="419">
        <v>1335</v>
      </c>
      <c r="P6" s="462"/>
      <c r="Q6" s="419">
        <v>1346</v>
      </c>
      <c r="R6" s="462"/>
      <c r="S6" s="421" t="s">
        <v>97</v>
      </c>
    </row>
    <row r="7" spans="2:19" ht="27.75" customHeight="1" x14ac:dyDescent="0.2">
      <c r="B7" s="418" t="s">
        <v>211</v>
      </c>
      <c r="C7" s="431">
        <v>1821</v>
      </c>
      <c r="D7" s="437"/>
      <c r="E7" s="431">
        <v>1822</v>
      </c>
      <c r="F7" s="437"/>
      <c r="G7" s="431">
        <v>1289</v>
      </c>
      <c r="H7" s="458"/>
      <c r="I7" s="431">
        <v>1302</v>
      </c>
      <c r="J7" s="458">
        <f>-RTRE!O11</f>
        <v>95610</v>
      </c>
      <c r="K7" s="464"/>
      <c r="L7" s="416"/>
      <c r="M7" s="464"/>
      <c r="N7" s="416"/>
      <c r="O7" s="464"/>
      <c r="P7" s="416"/>
      <c r="Q7" s="464"/>
      <c r="R7" s="416"/>
      <c r="S7" s="421" t="s">
        <v>102</v>
      </c>
    </row>
    <row r="8" spans="2:19" ht="30.75" customHeight="1" x14ac:dyDescent="0.2">
      <c r="B8" s="418" t="s">
        <v>212</v>
      </c>
      <c r="C8" s="431">
        <v>1936</v>
      </c>
      <c r="D8" s="437"/>
      <c r="E8" s="431">
        <v>1937</v>
      </c>
      <c r="F8" s="437"/>
      <c r="G8" s="431">
        <v>1938</v>
      </c>
      <c r="H8" s="458"/>
      <c r="I8" s="431">
        <v>1939</v>
      </c>
      <c r="J8" s="458"/>
      <c r="K8" s="464"/>
      <c r="L8" s="416"/>
      <c r="M8" s="431">
        <v>1940</v>
      </c>
      <c r="N8" s="458"/>
      <c r="O8" s="431">
        <v>1941</v>
      </c>
      <c r="P8" s="458"/>
      <c r="Q8" s="464"/>
      <c r="R8" s="416"/>
      <c r="S8" s="421" t="s">
        <v>102</v>
      </c>
    </row>
    <row r="9" spans="2:19" ht="22.5" customHeight="1" x14ac:dyDescent="0.2">
      <c r="B9" s="418" t="s">
        <v>173</v>
      </c>
      <c r="C9" s="431">
        <v>1271</v>
      </c>
      <c r="D9" s="437"/>
      <c r="E9" s="431">
        <v>1280</v>
      </c>
      <c r="F9" s="437"/>
      <c r="G9" s="431">
        <v>1290</v>
      </c>
      <c r="H9" s="458"/>
      <c r="I9" s="431">
        <v>1303</v>
      </c>
      <c r="J9" s="458"/>
      <c r="K9" s="431">
        <v>1314</v>
      </c>
      <c r="L9" s="458"/>
      <c r="M9" s="431">
        <v>1326</v>
      </c>
      <c r="N9" s="458"/>
      <c r="O9" s="431">
        <v>1337</v>
      </c>
      <c r="P9" s="458"/>
      <c r="Q9" s="431">
        <v>1347</v>
      </c>
      <c r="R9" s="458"/>
      <c r="S9" s="421" t="s">
        <v>97</v>
      </c>
    </row>
    <row r="10" spans="2:19" ht="22.5" customHeight="1" x14ac:dyDescent="0.2">
      <c r="B10" s="418" t="s">
        <v>174</v>
      </c>
      <c r="C10" s="429">
        <v>1272</v>
      </c>
      <c r="D10" s="437"/>
      <c r="E10" s="429">
        <v>1281</v>
      </c>
      <c r="F10" s="437"/>
      <c r="G10" s="431">
        <v>1291</v>
      </c>
      <c r="H10" s="458"/>
      <c r="I10" s="431">
        <v>1304</v>
      </c>
      <c r="J10" s="458"/>
      <c r="K10" s="431">
        <v>1315</v>
      </c>
      <c r="L10" s="458"/>
      <c r="M10" s="429">
        <v>1327</v>
      </c>
      <c r="N10" s="458"/>
      <c r="O10" s="429">
        <v>1338</v>
      </c>
      <c r="P10" s="458"/>
      <c r="Q10" s="429">
        <v>1348</v>
      </c>
      <c r="R10" s="458"/>
      <c r="S10" s="421" t="s">
        <v>102</v>
      </c>
    </row>
    <row r="11" spans="2:19" ht="22.5" customHeight="1" x14ac:dyDescent="0.2">
      <c r="B11" s="418" t="s">
        <v>213</v>
      </c>
      <c r="C11" s="464"/>
      <c r="D11" s="465"/>
      <c r="E11" s="464"/>
      <c r="F11" s="465"/>
      <c r="G11" s="431">
        <v>1292</v>
      </c>
      <c r="H11" s="458">
        <f>RTRE!N15</f>
        <v>3399428</v>
      </c>
      <c r="I11" s="431">
        <v>1305</v>
      </c>
      <c r="J11" s="458">
        <f>RTRE!O15</f>
        <v>20682124</v>
      </c>
      <c r="K11" s="431">
        <v>1316</v>
      </c>
      <c r="L11" s="458">
        <f>RTRE!P15</f>
        <v>1130242</v>
      </c>
      <c r="M11" s="464"/>
      <c r="N11" s="416"/>
      <c r="O11" s="464"/>
      <c r="P11" s="416"/>
      <c r="Q11" s="464"/>
      <c r="R11" s="416"/>
      <c r="S11" s="421" t="s">
        <v>97</v>
      </c>
    </row>
    <row r="12" spans="2:19" ht="22.5" customHeight="1" x14ac:dyDescent="0.2">
      <c r="B12" s="436" t="s">
        <v>214</v>
      </c>
      <c r="C12" s="429">
        <v>1273</v>
      </c>
      <c r="D12" s="442"/>
      <c r="E12" s="429">
        <v>1282</v>
      </c>
      <c r="F12" s="442"/>
      <c r="G12" s="429">
        <v>1293</v>
      </c>
      <c r="H12" s="460"/>
      <c r="I12" s="429">
        <v>1306</v>
      </c>
      <c r="J12" s="460">
        <f>RTRE!O16</f>
        <v>142857</v>
      </c>
      <c r="K12" s="429">
        <v>1317</v>
      </c>
      <c r="L12" s="460"/>
      <c r="M12" s="429">
        <v>1328</v>
      </c>
      <c r="N12" s="460"/>
      <c r="O12" s="429">
        <v>1339</v>
      </c>
      <c r="P12" s="460"/>
      <c r="Q12" s="429">
        <v>1349</v>
      </c>
      <c r="R12" s="460"/>
      <c r="S12" s="468" t="s">
        <v>97</v>
      </c>
    </row>
    <row r="13" spans="2:19" ht="22.5" customHeight="1" x14ac:dyDescent="0.2">
      <c r="B13" s="426" t="s">
        <v>195</v>
      </c>
      <c r="C13" s="443">
        <v>1274</v>
      </c>
      <c r="D13" s="445"/>
      <c r="E13" s="443">
        <v>1283</v>
      </c>
      <c r="F13" s="445"/>
      <c r="G13" s="443">
        <v>1294</v>
      </c>
      <c r="H13" s="459"/>
      <c r="I13" s="443">
        <v>1307</v>
      </c>
      <c r="J13" s="459"/>
      <c r="K13" s="443">
        <v>1318</v>
      </c>
      <c r="L13" s="459"/>
      <c r="M13" s="443">
        <v>1329</v>
      </c>
      <c r="N13" s="459"/>
      <c r="O13" s="443">
        <v>1340</v>
      </c>
      <c r="P13" s="459"/>
      <c r="Q13" s="443">
        <v>1350</v>
      </c>
      <c r="R13" s="459"/>
      <c r="S13" s="412" t="s">
        <v>97</v>
      </c>
    </row>
    <row r="14" spans="2:19" ht="22.5" customHeight="1" x14ac:dyDescent="0.2">
      <c r="B14" s="426" t="s">
        <v>196</v>
      </c>
      <c r="C14" s="443">
        <v>1275</v>
      </c>
      <c r="D14" s="445"/>
      <c r="E14" s="443">
        <v>1284</v>
      </c>
      <c r="F14" s="445"/>
      <c r="G14" s="443">
        <v>1295</v>
      </c>
      <c r="H14" s="459"/>
      <c r="I14" s="443">
        <v>1308</v>
      </c>
      <c r="J14" s="459"/>
      <c r="K14" s="443">
        <v>1319</v>
      </c>
      <c r="L14" s="459"/>
      <c r="M14" s="443">
        <v>1330</v>
      </c>
      <c r="N14" s="459"/>
      <c r="O14" s="443">
        <v>1341</v>
      </c>
      <c r="P14" s="459"/>
      <c r="Q14" s="443">
        <v>1351</v>
      </c>
      <c r="R14" s="459"/>
      <c r="S14" s="412" t="s">
        <v>102</v>
      </c>
    </row>
    <row r="15" spans="2:19" ht="30.75" customHeight="1" x14ac:dyDescent="0.2">
      <c r="B15" s="426" t="s">
        <v>215</v>
      </c>
      <c r="C15" s="443">
        <v>1276</v>
      </c>
      <c r="D15" s="445"/>
      <c r="E15" s="443">
        <v>1285</v>
      </c>
      <c r="F15" s="445"/>
      <c r="G15" s="443">
        <v>1296</v>
      </c>
      <c r="H15" s="459">
        <f>-RTRE!N20</f>
        <v>3399428</v>
      </c>
      <c r="I15" s="443">
        <v>1309</v>
      </c>
      <c r="J15" s="459">
        <f>-RTRE!O20-RTRE!O22</f>
        <v>19685291</v>
      </c>
      <c r="K15" s="443">
        <v>1320</v>
      </c>
      <c r="L15" s="459">
        <f>-RTRE!P20</f>
        <v>1130242</v>
      </c>
      <c r="M15" s="443">
        <v>1331</v>
      </c>
      <c r="N15" s="459"/>
      <c r="O15" s="443">
        <v>1342</v>
      </c>
      <c r="P15" s="459"/>
      <c r="Q15" s="443">
        <v>1352</v>
      </c>
      <c r="R15" s="459"/>
      <c r="S15" s="412" t="s">
        <v>102</v>
      </c>
    </row>
    <row r="16" spans="2:19" ht="30" customHeight="1" x14ac:dyDescent="0.2">
      <c r="B16" s="426" t="s">
        <v>216</v>
      </c>
      <c r="C16" s="443">
        <v>1277</v>
      </c>
      <c r="D16" s="445"/>
      <c r="E16" s="443">
        <v>1286</v>
      </c>
      <c r="F16" s="445"/>
      <c r="G16" s="443">
        <v>1297</v>
      </c>
      <c r="H16" s="459"/>
      <c r="I16" s="443">
        <v>1310</v>
      </c>
      <c r="J16" s="459"/>
      <c r="K16" s="443">
        <v>1321</v>
      </c>
      <c r="L16" s="459"/>
      <c r="M16" s="443">
        <v>1332</v>
      </c>
      <c r="N16" s="459"/>
      <c r="O16" s="443">
        <v>1343</v>
      </c>
      <c r="P16" s="459"/>
      <c r="Q16" s="443">
        <v>1353</v>
      </c>
      <c r="R16" s="459"/>
      <c r="S16" s="412" t="s">
        <v>102</v>
      </c>
    </row>
    <row r="17" spans="2:19" ht="30.75" customHeight="1" x14ac:dyDescent="0.2">
      <c r="B17" s="426" t="s">
        <v>217</v>
      </c>
      <c r="C17" s="466"/>
      <c r="D17" s="467"/>
      <c r="E17" s="466"/>
      <c r="F17" s="467"/>
      <c r="G17" s="443">
        <v>1298</v>
      </c>
      <c r="H17" s="459"/>
      <c r="I17" s="443">
        <v>1311</v>
      </c>
      <c r="J17" s="459">
        <f>-(RTRE!O25+RTRE!O26)</f>
        <v>93012</v>
      </c>
      <c r="K17" s="443">
        <v>1322</v>
      </c>
      <c r="L17" s="459"/>
      <c r="M17" s="443">
        <v>1333</v>
      </c>
      <c r="N17" s="459"/>
      <c r="O17" s="443">
        <v>1344</v>
      </c>
      <c r="P17" s="459"/>
      <c r="Q17" s="443">
        <v>1354</v>
      </c>
      <c r="R17" s="459"/>
      <c r="S17" s="412" t="s">
        <v>102</v>
      </c>
    </row>
    <row r="18" spans="2:19" ht="21" customHeight="1" x14ac:dyDescent="0.2">
      <c r="B18" s="426" t="s">
        <v>199</v>
      </c>
      <c r="C18" s="429">
        <v>1278</v>
      </c>
      <c r="D18" s="445"/>
      <c r="E18" s="429">
        <v>1287</v>
      </c>
      <c r="F18" s="445"/>
      <c r="G18" s="443">
        <v>1312</v>
      </c>
      <c r="H18" s="459">
        <f>H11-H15</f>
        <v>0</v>
      </c>
      <c r="I18" s="443">
        <v>1300</v>
      </c>
      <c r="J18" s="459">
        <f>-J7+J11+J12-J15-J17</f>
        <v>951068</v>
      </c>
      <c r="K18" s="443">
        <v>1323</v>
      </c>
      <c r="L18" s="459">
        <f>L11-L15</f>
        <v>0</v>
      </c>
      <c r="M18" s="443">
        <v>1334</v>
      </c>
      <c r="N18" s="459"/>
      <c r="O18" s="443">
        <v>1345</v>
      </c>
      <c r="P18" s="459"/>
      <c r="Q18" s="443">
        <v>1355</v>
      </c>
      <c r="R18" s="459"/>
      <c r="S18" s="412" t="s">
        <v>64</v>
      </c>
    </row>
    <row r="19" spans="2:19" ht="21" customHeight="1" x14ac:dyDescent="0.2">
      <c r="B19" s="426" t="s">
        <v>200</v>
      </c>
      <c r="C19" s="443">
        <v>1723</v>
      </c>
      <c r="D19" s="445"/>
      <c r="E19" s="443">
        <v>1724</v>
      </c>
      <c r="F19" s="445"/>
      <c r="G19" s="443">
        <v>1299</v>
      </c>
      <c r="H19" s="459"/>
      <c r="I19" s="443">
        <v>1373</v>
      </c>
      <c r="J19" s="459"/>
      <c r="K19" s="463"/>
      <c r="L19" s="417"/>
      <c r="M19" s="463"/>
      <c r="N19" s="417"/>
      <c r="O19" s="463"/>
      <c r="P19" s="417"/>
      <c r="Q19" s="463"/>
      <c r="R19" s="417"/>
      <c r="S19" s="412" t="s">
        <v>64</v>
      </c>
    </row>
    <row r="20" spans="2:19" x14ac:dyDescent="0.2">
      <c r="C20" s="469"/>
      <c r="D20" s="469"/>
      <c r="E20" s="469"/>
      <c r="F20" s="469"/>
      <c r="G20" s="469"/>
    </row>
    <row r="22" spans="2:19" x14ac:dyDescent="0.2">
      <c r="H22" s="170"/>
      <c r="J22" s="170"/>
      <c r="L22" s="170"/>
    </row>
  </sheetData>
  <mergeCells count="13">
    <mergeCell ref="B2:S2"/>
    <mergeCell ref="C3:L3"/>
    <mergeCell ref="C4:F4"/>
    <mergeCell ref="G4:J4"/>
    <mergeCell ref="M3:R3"/>
    <mergeCell ref="M4:N5"/>
    <mergeCell ref="O4:P5"/>
    <mergeCell ref="Q4:R5"/>
    <mergeCell ref="C5:D5"/>
    <mergeCell ref="E5:F5"/>
    <mergeCell ref="G5:H5"/>
    <mergeCell ref="I5:J5"/>
    <mergeCell ref="K4:L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FF379-3FC1-40F4-8A4A-F9B94D28DAF2}">
  <dimension ref="A1:N53"/>
  <sheetViews>
    <sheetView showGridLines="0" workbookViewId="0"/>
  </sheetViews>
  <sheetFormatPr baseColWidth="10" defaultColWidth="11.42578125" defaultRowHeight="15" x14ac:dyDescent="0.25"/>
  <cols>
    <col min="1" max="1" width="3.7109375" customWidth="1"/>
    <col min="5" max="5" width="14.85546875" customWidth="1"/>
    <col min="6" max="6" width="36.5703125" customWidth="1"/>
    <col min="7" max="12" width="14.85546875" customWidth="1"/>
  </cols>
  <sheetData>
    <row r="1" spans="1:14" ht="12" customHeight="1" x14ac:dyDescent="0.25"/>
    <row r="2" spans="1:14" ht="12" customHeight="1" x14ac:dyDescent="0.3">
      <c r="A2" s="67"/>
      <c r="B2" s="67"/>
      <c r="C2" s="67"/>
      <c r="D2" s="103"/>
      <c r="E2" s="67"/>
      <c r="F2" s="67"/>
      <c r="G2" s="67"/>
      <c r="H2" s="67"/>
      <c r="I2" s="67"/>
      <c r="J2" s="67"/>
      <c r="K2" s="67"/>
      <c r="L2" s="67"/>
      <c r="M2" s="67"/>
      <c r="N2" s="67"/>
    </row>
    <row r="3" spans="1:14" ht="12" customHeight="1" x14ac:dyDescent="0.25"/>
    <row r="4" spans="1:14" x14ac:dyDescent="0.25">
      <c r="A4" s="104"/>
      <c r="B4" s="104"/>
      <c r="C4" s="104"/>
      <c r="D4" s="105"/>
      <c r="E4" s="105"/>
      <c r="F4" s="106"/>
      <c r="G4" s="106"/>
      <c r="H4" s="106"/>
      <c r="I4" s="21"/>
      <c r="J4" s="21" t="s">
        <v>218</v>
      </c>
      <c r="K4" s="20"/>
      <c r="L4" s="20"/>
      <c r="M4" s="67"/>
      <c r="N4" s="67"/>
    </row>
    <row r="5" spans="1:14" x14ac:dyDescent="0.25">
      <c r="A5" s="104"/>
      <c r="B5" s="104"/>
      <c r="C5" s="104"/>
      <c r="D5" s="105"/>
      <c r="E5" s="105"/>
      <c r="F5" s="106"/>
      <c r="G5" s="106"/>
      <c r="H5" s="106"/>
      <c r="I5" s="22" t="s">
        <v>219</v>
      </c>
      <c r="J5" s="23"/>
      <c r="K5" s="22"/>
      <c r="L5" s="21"/>
      <c r="M5" s="67"/>
      <c r="N5" s="67"/>
    </row>
    <row r="6" spans="1:14" x14ac:dyDescent="0.25">
      <c r="A6" s="104"/>
      <c r="B6" s="80" t="s">
        <v>220</v>
      </c>
      <c r="C6" s="104"/>
      <c r="D6" s="105"/>
      <c r="E6" s="105"/>
      <c r="F6" s="107"/>
      <c r="G6" s="107"/>
      <c r="H6" s="107"/>
      <c r="I6" s="107"/>
      <c r="J6" s="107"/>
      <c r="K6" s="107"/>
      <c r="L6" s="108"/>
      <c r="M6" s="67"/>
      <c r="N6" s="67"/>
    </row>
    <row r="7" spans="1:14" x14ac:dyDescent="0.25">
      <c r="A7" s="104"/>
      <c r="B7" s="104"/>
      <c r="C7" s="104"/>
      <c r="D7" s="105"/>
      <c r="E7" s="105"/>
      <c r="F7" s="107"/>
      <c r="G7" s="107"/>
      <c r="H7" s="107"/>
      <c r="I7" s="107"/>
      <c r="J7" s="107"/>
      <c r="K7" s="107"/>
      <c r="L7" s="108"/>
      <c r="M7" s="67"/>
      <c r="N7" s="67"/>
    </row>
    <row r="8" spans="1:14" x14ac:dyDescent="0.25">
      <c r="A8" s="67"/>
      <c r="B8" s="109" t="s">
        <v>221</v>
      </c>
      <c r="C8" s="109"/>
      <c r="D8" s="109"/>
      <c r="E8" s="109"/>
      <c r="F8" s="67"/>
      <c r="G8" s="67"/>
      <c r="H8" s="67"/>
      <c r="I8" s="110"/>
      <c r="J8" s="110"/>
      <c r="K8" s="67"/>
      <c r="L8" s="67"/>
      <c r="M8" s="67"/>
      <c r="N8" s="67"/>
    </row>
    <row r="9" spans="1:14" x14ac:dyDescent="0.25">
      <c r="A9" s="67"/>
      <c r="B9" s="810" t="s">
        <v>222</v>
      </c>
      <c r="C9" s="811"/>
      <c r="D9" s="811"/>
      <c r="E9" s="812"/>
      <c r="F9" s="813" t="s">
        <v>223</v>
      </c>
      <c r="G9" s="813"/>
      <c r="H9" s="813"/>
      <c r="I9" s="799" t="s">
        <v>224</v>
      </c>
      <c r="J9" s="799"/>
      <c r="K9" s="67"/>
      <c r="L9" s="67"/>
      <c r="M9" s="67"/>
      <c r="N9" s="67"/>
    </row>
    <row r="10" spans="1:14" x14ac:dyDescent="0.25">
      <c r="A10" s="67"/>
      <c r="B10" s="810"/>
      <c r="C10" s="811"/>
      <c r="D10" s="811"/>
      <c r="E10" s="812"/>
      <c r="F10" s="813"/>
      <c r="G10" s="813"/>
      <c r="H10" s="813"/>
      <c r="I10" s="799"/>
      <c r="J10" s="799"/>
      <c r="K10" s="67"/>
      <c r="L10" s="67"/>
      <c r="M10" s="67"/>
      <c r="N10" s="67"/>
    </row>
    <row r="11" spans="1:14" x14ac:dyDescent="0.25">
      <c r="A11" s="67"/>
      <c r="B11" s="810" t="s">
        <v>225</v>
      </c>
      <c r="C11" s="811"/>
      <c r="D11" s="811"/>
      <c r="E11" s="812"/>
      <c r="F11" s="813" t="s">
        <v>226</v>
      </c>
      <c r="G11" s="813"/>
      <c r="H11" s="813"/>
      <c r="I11" s="111" t="s">
        <v>227</v>
      </c>
      <c r="J11" s="111" t="s">
        <v>228</v>
      </c>
      <c r="K11" s="67"/>
      <c r="L11" s="67"/>
      <c r="M11" s="67"/>
      <c r="N11" s="67"/>
    </row>
    <row r="12" spans="1:14" x14ac:dyDescent="0.25">
      <c r="A12" s="67"/>
      <c r="B12" s="810"/>
      <c r="C12" s="811"/>
      <c r="D12" s="811"/>
      <c r="E12" s="812"/>
      <c r="F12" s="813"/>
      <c r="G12" s="813"/>
      <c r="H12" s="813"/>
      <c r="I12" s="111" t="s">
        <v>229</v>
      </c>
      <c r="J12" s="111" t="s">
        <v>230</v>
      </c>
      <c r="K12" s="67"/>
      <c r="L12" s="67"/>
      <c r="M12" s="67"/>
      <c r="N12" s="67"/>
    </row>
    <row r="13" spans="1:14" x14ac:dyDescent="0.25">
      <c r="A13" s="67"/>
      <c r="B13" s="810" t="s">
        <v>231</v>
      </c>
      <c r="C13" s="811"/>
      <c r="D13" s="811"/>
      <c r="E13" s="812"/>
      <c r="F13" s="811" t="s">
        <v>232</v>
      </c>
      <c r="G13" s="811"/>
      <c r="H13" s="812"/>
      <c r="I13" s="20"/>
      <c r="J13" s="112"/>
      <c r="K13" s="67"/>
      <c r="L13" s="67"/>
      <c r="M13" s="67"/>
      <c r="N13" s="67"/>
    </row>
    <row r="14" spans="1:14" x14ac:dyDescent="0.25">
      <c r="A14" s="67"/>
      <c r="B14" s="810"/>
      <c r="C14" s="811"/>
      <c r="D14" s="811"/>
      <c r="E14" s="812"/>
      <c r="F14" s="811"/>
      <c r="G14" s="811"/>
      <c r="H14" s="812"/>
      <c r="I14" s="20"/>
      <c r="J14" s="20"/>
      <c r="K14" s="67"/>
      <c r="L14" s="67"/>
      <c r="M14" s="67"/>
      <c r="N14" s="67"/>
    </row>
    <row r="15" spans="1:14" x14ac:dyDescent="0.25">
      <c r="A15" s="67"/>
      <c r="B15" s="109"/>
      <c r="C15" s="109"/>
      <c r="D15" s="109"/>
      <c r="E15" s="109"/>
      <c r="F15" s="67"/>
      <c r="G15" s="67"/>
      <c r="H15" s="67"/>
      <c r="I15" s="110"/>
      <c r="J15" s="110"/>
      <c r="K15" s="67"/>
      <c r="L15" s="67"/>
      <c r="M15" s="67"/>
      <c r="N15" s="67"/>
    </row>
    <row r="16" spans="1:14" x14ac:dyDescent="0.25">
      <c r="A16" s="67"/>
      <c r="B16" s="109" t="s">
        <v>233</v>
      </c>
      <c r="C16" s="109"/>
      <c r="D16" s="109"/>
      <c r="E16" s="109"/>
      <c r="F16" s="67"/>
      <c r="G16" s="67"/>
      <c r="H16" s="67"/>
      <c r="I16" s="67"/>
      <c r="J16" s="105"/>
      <c r="K16" s="20"/>
      <c r="L16" s="67"/>
      <c r="M16" s="67"/>
      <c r="N16" s="67"/>
    </row>
    <row r="17" spans="1:14" ht="33.75" x14ac:dyDescent="0.25">
      <c r="A17" s="67"/>
      <c r="B17" s="111" t="s">
        <v>234</v>
      </c>
      <c r="C17" s="799" t="s">
        <v>235</v>
      </c>
      <c r="D17" s="799"/>
      <c r="E17" s="113" t="s">
        <v>236</v>
      </c>
      <c r="F17" s="111" t="s">
        <v>237</v>
      </c>
      <c r="G17" s="111" t="s">
        <v>238</v>
      </c>
      <c r="H17" s="111" t="s">
        <v>47</v>
      </c>
      <c r="I17" s="105"/>
      <c r="J17" s="20"/>
      <c r="K17" s="67"/>
      <c r="L17" s="67"/>
      <c r="M17" s="67"/>
      <c r="N17" s="67"/>
    </row>
    <row r="18" spans="1:14" s="13" customFormat="1" x14ac:dyDescent="0.25">
      <c r="A18" s="81"/>
      <c r="B18" s="111" t="s">
        <v>239</v>
      </c>
      <c r="C18" s="799" t="s">
        <v>240</v>
      </c>
      <c r="D18" s="799"/>
      <c r="E18" s="113" t="s">
        <v>241</v>
      </c>
      <c r="F18" s="111" t="s">
        <v>242</v>
      </c>
      <c r="G18" s="111" t="s">
        <v>243</v>
      </c>
      <c r="H18" s="111" t="s">
        <v>244</v>
      </c>
      <c r="I18" s="131"/>
      <c r="J18" s="112"/>
      <c r="K18" s="81"/>
      <c r="L18" s="81"/>
      <c r="M18" s="81"/>
      <c r="N18" s="81"/>
    </row>
    <row r="19" spans="1:14" x14ac:dyDescent="0.25">
      <c r="A19" s="67"/>
      <c r="B19" s="114">
        <v>1</v>
      </c>
      <c r="C19" s="822"/>
      <c r="D19" s="823"/>
      <c r="F19" s="130" t="str">
        <f>+RLI!D4</f>
        <v>Resultado financiero según balance al 31.12.2025</v>
      </c>
      <c r="G19" s="129">
        <f>+RLI!L4</f>
        <v>83400500</v>
      </c>
      <c r="H19" s="111">
        <f>+RLI!O4</f>
        <v>9</v>
      </c>
      <c r="I19" s="105"/>
      <c r="J19" s="128"/>
      <c r="K19" s="67"/>
      <c r="L19" s="67"/>
      <c r="M19" s="67"/>
      <c r="N19" s="67"/>
    </row>
    <row r="20" spans="1:14" ht="15" customHeight="1" x14ac:dyDescent="0.25">
      <c r="A20" s="67"/>
      <c r="B20" s="111">
        <v>2</v>
      </c>
      <c r="C20" s="820">
        <f>+RLI!C6</f>
        <v>1144</v>
      </c>
      <c r="D20" s="821"/>
      <c r="E20" s="111" t="str">
        <f>+RLI!N6</f>
        <v>5.03.05.13</v>
      </c>
      <c r="F20" s="130" t="str">
        <f>+RLI!D6</f>
        <v xml:space="preserve">21.03; Multas fiscales, pagadas, reajustadas </v>
      </c>
      <c r="G20" s="129">
        <f>+RLI!L6</f>
        <v>50296</v>
      </c>
      <c r="H20" s="111">
        <f>+RLI!O6</f>
        <v>1</v>
      </c>
      <c r="I20" s="105"/>
      <c r="J20" s="20"/>
      <c r="K20" s="67"/>
      <c r="L20" s="67"/>
      <c r="M20" s="67"/>
      <c r="N20" s="67"/>
    </row>
    <row r="21" spans="1:14" x14ac:dyDescent="0.25">
      <c r="A21" s="67"/>
      <c r="B21" s="111">
        <v>3</v>
      </c>
      <c r="C21" s="820">
        <f>+RLI!C7</f>
        <v>1677</v>
      </c>
      <c r="D21" s="821"/>
      <c r="E21" s="111" t="str">
        <f>+RLI!N7</f>
        <v>5.03.05.10</v>
      </c>
      <c r="F21" s="130" t="str">
        <f>+RLI!D7</f>
        <v>28.03; Donación Club Rayuela, reajustada</v>
      </c>
      <c r="G21" s="129">
        <f>+RLI!L7</f>
        <v>201181</v>
      </c>
      <c r="H21" s="111">
        <f>+RLI!O7</f>
        <v>1</v>
      </c>
      <c r="I21" s="105"/>
      <c r="J21" s="20"/>
      <c r="K21" s="67"/>
      <c r="L21" s="67"/>
      <c r="M21" s="67"/>
      <c r="N21" s="67"/>
    </row>
    <row r="22" spans="1:14" ht="22.5" x14ac:dyDescent="0.25">
      <c r="A22" s="67"/>
      <c r="B22" s="111">
        <v>4</v>
      </c>
      <c r="C22" s="820">
        <f>+RLI!C8</f>
        <v>1678</v>
      </c>
      <c r="D22" s="821"/>
      <c r="E22" s="111" t="str">
        <f>+RLI!N8</f>
        <v>5.03.05.02</v>
      </c>
      <c r="F22" s="130" t="str">
        <f>+RLI!D8</f>
        <v>25.04; Pago que no se ha acreditado la naturaleza ni efectividad, actualizados</v>
      </c>
      <c r="G22" s="129">
        <f>+RLI!L8</f>
        <v>777295</v>
      </c>
      <c r="H22" s="111">
        <f>+RLI!O8</f>
        <v>1</v>
      </c>
      <c r="I22" s="105"/>
      <c r="J22" s="20"/>
      <c r="K22" s="67"/>
      <c r="L22" s="67"/>
      <c r="M22" s="67"/>
      <c r="N22" s="67"/>
    </row>
    <row r="23" spans="1:14" x14ac:dyDescent="0.25">
      <c r="A23" s="67"/>
      <c r="B23" s="111">
        <v>5</v>
      </c>
      <c r="C23" s="820">
        <f>+RLI!C9</f>
        <v>1144</v>
      </c>
      <c r="D23" s="821"/>
      <c r="E23" s="111" t="str">
        <f>+RLI!N9</f>
        <v>5.03.05.14</v>
      </c>
      <c r="F23" s="130" t="str">
        <f>+RLI!D9</f>
        <v xml:space="preserve">30.04; Pago IDPC AT 2025, actualizados </v>
      </c>
      <c r="G23" s="129">
        <f>+RLI!L9</f>
        <v>17556480</v>
      </c>
      <c r="H23" s="111">
        <f>+RLI!O9</f>
        <v>1</v>
      </c>
      <c r="I23" s="105"/>
      <c r="J23" s="20"/>
      <c r="K23" s="67"/>
      <c r="L23" s="67"/>
      <c r="M23" s="67"/>
      <c r="N23" s="67"/>
    </row>
    <row r="24" spans="1:14" ht="22.5" x14ac:dyDescent="0.25">
      <c r="A24" s="67"/>
      <c r="B24" s="111">
        <v>6</v>
      </c>
      <c r="C24" s="820">
        <f>+RLI!C10</f>
        <v>1678</v>
      </c>
      <c r="D24" s="821"/>
      <c r="E24" s="111" t="str">
        <f>+RLI!N10</f>
        <v>5.03.04.98</v>
      </c>
      <c r="F24" s="130" t="str">
        <f>+RLI!D10</f>
        <v xml:space="preserve">15.12; Colegiatura del hijo de la socia Srta. Arriagada </v>
      </c>
      <c r="G24" s="129">
        <f>+RLI!L10</f>
        <v>3000000</v>
      </c>
      <c r="H24" s="111">
        <f>+RLI!O10</f>
        <v>1</v>
      </c>
      <c r="I24" s="105"/>
      <c r="J24" s="20"/>
      <c r="K24" s="67"/>
      <c r="L24" s="67"/>
      <c r="M24" s="67"/>
      <c r="N24" s="67"/>
    </row>
    <row r="25" spans="1:14" ht="22.5" x14ac:dyDescent="0.25">
      <c r="A25" s="67"/>
      <c r="B25" s="111">
        <v>7</v>
      </c>
      <c r="C25" s="820">
        <f>+RLI!C13</f>
        <v>1674</v>
      </c>
      <c r="D25" s="821"/>
      <c r="E25" s="111" t="s">
        <v>245</v>
      </c>
      <c r="F25" s="130" t="str">
        <f>+RLI!D13</f>
        <v>Corrección monetaria disminución de capital (retiros socios)</v>
      </c>
      <c r="G25" s="129">
        <f>+RLI!L13</f>
        <v>1284000</v>
      </c>
      <c r="H25" s="111">
        <f>+RLI!O13</f>
        <v>1</v>
      </c>
      <c r="I25" s="105"/>
      <c r="J25" s="20"/>
      <c r="K25" s="67"/>
      <c r="L25" s="67"/>
      <c r="M25" s="67"/>
      <c r="N25" s="67"/>
    </row>
    <row r="26" spans="1:14" ht="22.5" x14ac:dyDescent="0.25">
      <c r="A26" s="67"/>
      <c r="B26" s="111">
        <v>8</v>
      </c>
      <c r="C26" s="820">
        <v>1676</v>
      </c>
      <c r="D26" s="821"/>
      <c r="E26" s="111" t="s">
        <v>246</v>
      </c>
      <c r="F26" s="130" t="s">
        <v>247</v>
      </c>
      <c r="G26" s="129">
        <f>RLI!L11</f>
        <v>4529670</v>
      </c>
      <c r="H26" s="111">
        <v>1</v>
      </c>
      <c r="I26" s="105"/>
      <c r="J26" s="20"/>
      <c r="K26" s="67"/>
      <c r="L26" s="67"/>
      <c r="M26" s="67"/>
      <c r="N26" s="67"/>
    </row>
    <row r="27" spans="1:14" x14ac:dyDescent="0.25">
      <c r="A27" s="67"/>
      <c r="B27" s="111">
        <v>9</v>
      </c>
      <c r="C27" s="820">
        <f>+RLI!C17</f>
        <v>1686</v>
      </c>
      <c r="D27" s="821"/>
      <c r="E27" s="111" t="str">
        <f>+RLI!N17</f>
        <v>5.01.01.05</v>
      </c>
      <c r="F27" s="130" t="str">
        <f>+RLI!D17</f>
        <v>Dividendo percibido de fuente chilena</v>
      </c>
      <c r="G27" s="129">
        <f>+RLI!L17*-1</f>
        <v>1000000</v>
      </c>
      <c r="H27" s="111">
        <f>+RLI!O17</f>
        <v>2</v>
      </c>
      <c r="I27" s="105"/>
      <c r="J27" s="20"/>
      <c r="K27" s="67"/>
      <c r="L27" s="67"/>
      <c r="M27" s="67"/>
      <c r="N27" s="67"/>
    </row>
    <row r="28" spans="1:14" x14ac:dyDescent="0.25">
      <c r="A28" s="67"/>
      <c r="B28" s="111">
        <v>10</v>
      </c>
      <c r="C28" s="820">
        <f>+RLI!C18</f>
        <v>1176</v>
      </c>
      <c r="D28" s="821"/>
      <c r="E28" s="111" t="str">
        <f>+RLI!N18</f>
        <v>5.01.03.03</v>
      </c>
      <c r="F28" s="130" t="str">
        <f>+RLI!D18</f>
        <v>Factura castigada tributariamente 2025</v>
      </c>
      <c r="G28" s="129">
        <f>+RLI!L18*-1</f>
        <v>2800000</v>
      </c>
      <c r="H28" s="111">
        <f>+RLI!O18</f>
        <v>2</v>
      </c>
      <c r="I28" s="105"/>
      <c r="J28" s="20"/>
      <c r="K28" s="67"/>
      <c r="L28" s="67"/>
      <c r="M28" s="67"/>
      <c r="N28" s="67"/>
    </row>
    <row r="29" spans="1:14" ht="22.5" x14ac:dyDescent="0.25">
      <c r="A29" s="67"/>
      <c r="B29" s="111">
        <v>11</v>
      </c>
      <c r="C29" s="820">
        <f>+RLI!C19</f>
        <v>1682</v>
      </c>
      <c r="D29" s="821"/>
      <c r="E29" s="111" t="str">
        <f>+RLI!N19</f>
        <v>5.03.05.02</v>
      </c>
      <c r="F29" s="130" t="str">
        <f>+RLI!D19</f>
        <v>25.04; Pago que no se ha acreditado la naturaleza ni efectividad, actualizados</v>
      </c>
      <c r="G29" s="129">
        <f>+RLI!L19*-1</f>
        <v>777295</v>
      </c>
      <c r="H29" s="111">
        <f>+RLI!O19</f>
        <v>2</v>
      </c>
      <c r="I29" s="105"/>
      <c r="J29" s="20"/>
      <c r="K29" s="67"/>
      <c r="L29" s="67"/>
      <c r="M29" s="67"/>
      <c r="N29" s="67"/>
    </row>
    <row r="30" spans="1:14" ht="22.5" x14ac:dyDescent="0.25">
      <c r="A30" s="67"/>
      <c r="B30" s="111">
        <v>12</v>
      </c>
      <c r="C30" s="820">
        <f>+RLI!C20</f>
        <v>1683</v>
      </c>
      <c r="D30" s="821"/>
      <c r="E30" s="111" t="str">
        <f>+RLI!N20</f>
        <v>5.03.04.99</v>
      </c>
      <c r="F30" s="130" t="str">
        <f>+RLI!D20</f>
        <v xml:space="preserve">15.12; Colegiatura del hijo de la socia Srta. Arriagada </v>
      </c>
      <c r="G30" s="129">
        <f>+RLI!L20*-1</f>
        <v>3000000</v>
      </c>
      <c r="H30" s="111">
        <f>+RLI!O20</f>
        <v>2</v>
      </c>
      <c r="I30" s="105"/>
      <c r="J30" s="20"/>
      <c r="K30" s="67"/>
      <c r="L30" s="67"/>
      <c r="M30" s="67"/>
      <c r="N30" s="67"/>
    </row>
    <row r="31" spans="1:14" x14ac:dyDescent="0.25">
      <c r="A31" s="67"/>
      <c r="B31" s="111">
        <v>13</v>
      </c>
      <c r="C31" s="820">
        <f>+RLI!C22</f>
        <v>1673</v>
      </c>
      <c r="D31" s="821"/>
      <c r="E31" s="111" t="s">
        <v>248</v>
      </c>
      <c r="F31" s="130" t="str">
        <f>+RLI!D22</f>
        <v xml:space="preserve">Corrección monetaria CPT inicial </v>
      </c>
      <c r="G31" s="129">
        <f>+RLI!L22*-1</f>
        <v>3932218</v>
      </c>
      <c r="H31" s="111">
        <f>+RLI!O22</f>
        <v>2</v>
      </c>
      <c r="I31" s="105"/>
      <c r="J31" s="20"/>
      <c r="K31" s="67"/>
      <c r="L31" s="67"/>
      <c r="M31" s="67"/>
      <c r="N31" s="67"/>
    </row>
    <row r="32" spans="1:14" ht="21" customHeight="1" x14ac:dyDescent="0.25">
      <c r="A32" s="67"/>
      <c r="B32" s="111">
        <v>14</v>
      </c>
      <c r="C32" s="800">
        <f>+RLI!C25</f>
        <v>1154</v>
      </c>
      <c r="D32" s="802"/>
      <c r="E32" s="111" t="str">
        <f>+RLI!N25</f>
        <v>5.03.04.20</v>
      </c>
      <c r="F32" s="130" t="str">
        <f>+RLI!D25</f>
        <v>Deducción incentivo al ahorro art. 14 letra E) LIR</v>
      </c>
      <c r="G32" s="129">
        <f>+RLI!L25*-1</f>
        <v>10098976</v>
      </c>
      <c r="H32" s="111">
        <f>+RLI!O25</f>
        <v>4</v>
      </c>
      <c r="I32" s="105"/>
      <c r="J32" s="20"/>
      <c r="K32" s="67"/>
      <c r="L32" s="67"/>
      <c r="M32" s="67"/>
      <c r="N32" s="67"/>
    </row>
    <row r="33" spans="1:14" x14ac:dyDescent="0.25">
      <c r="A33" s="67"/>
      <c r="B33" s="115"/>
      <c r="C33" s="116"/>
      <c r="D33" s="117"/>
      <c r="E33" s="110"/>
      <c r="F33" s="110"/>
      <c r="G33" s="110"/>
      <c r="H33" s="110"/>
      <c r="I33" s="105"/>
      <c r="J33" s="20"/>
      <c r="K33" s="67"/>
      <c r="L33" s="67"/>
      <c r="M33" s="67"/>
      <c r="N33" s="67"/>
    </row>
    <row r="34" spans="1:14" x14ac:dyDescent="0.25">
      <c r="A34" s="67"/>
      <c r="B34" s="115"/>
      <c r="C34" s="117"/>
      <c r="D34" s="117"/>
      <c r="E34" s="110"/>
      <c r="F34" s="110"/>
      <c r="G34" s="110"/>
      <c r="H34" s="110"/>
      <c r="I34" s="105"/>
      <c r="J34" s="20"/>
      <c r="K34" s="67"/>
      <c r="L34" s="67"/>
      <c r="M34" s="67"/>
      <c r="N34" s="67"/>
    </row>
    <row r="35" spans="1:14" x14ac:dyDescent="0.25">
      <c r="A35" s="118"/>
      <c r="B35" s="119" t="s">
        <v>249</v>
      </c>
      <c r="C35" s="120"/>
      <c r="D35" s="120"/>
      <c r="E35" s="120"/>
      <c r="F35" s="120"/>
      <c r="G35" s="121"/>
      <c r="H35" s="121"/>
      <c r="I35" s="121"/>
      <c r="J35" s="121"/>
      <c r="K35" s="121"/>
      <c r="L35" s="67"/>
      <c r="M35" s="67"/>
      <c r="N35" s="20"/>
    </row>
    <row r="36" spans="1:14" ht="26.25" customHeight="1" x14ac:dyDescent="0.25">
      <c r="A36" s="118"/>
      <c r="B36" s="816" t="s">
        <v>234</v>
      </c>
      <c r="C36" s="790" t="s">
        <v>250</v>
      </c>
      <c r="D36" s="790"/>
      <c r="E36" s="818" t="s">
        <v>251</v>
      </c>
      <c r="F36" s="807" t="s">
        <v>252</v>
      </c>
      <c r="G36" s="790" t="s">
        <v>253</v>
      </c>
      <c r="H36" s="790"/>
      <c r="I36" s="790" t="s">
        <v>254</v>
      </c>
      <c r="J36" s="790"/>
      <c r="K36" s="20"/>
      <c r="L36" s="67"/>
      <c r="M36" s="67"/>
      <c r="N36" s="20"/>
    </row>
    <row r="37" spans="1:14" x14ac:dyDescent="0.25">
      <c r="A37" s="118"/>
      <c r="B37" s="817"/>
      <c r="C37" s="790"/>
      <c r="D37" s="790"/>
      <c r="E37" s="819"/>
      <c r="F37" s="808"/>
      <c r="G37" s="122" t="s">
        <v>255</v>
      </c>
      <c r="H37" s="122" t="s">
        <v>256</v>
      </c>
      <c r="I37" s="122" t="s">
        <v>255</v>
      </c>
      <c r="J37" s="122" t="s">
        <v>256</v>
      </c>
      <c r="K37" s="20"/>
      <c r="L37" s="67"/>
      <c r="M37" s="67"/>
      <c r="N37" s="20"/>
    </row>
    <row r="38" spans="1:14" x14ac:dyDescent="0.25">
      <c r="A38" s="118"/>
      <c r="B38" s="123" t="s">
        <v>257</v>
      </c>
      <c r="C38" s="792" t="s">
        <v>258</v>
      </c>
      <c r="D38" s="792"/>
      <c r="E38" s="125" t="s">
        <v>259</v>
      </c>
      <c r="F38" s="124" t="s">
        <v>260</v>
      </c>
      <c r="G38" s="122" t="s">
        <v>261</v>
      </c>
      <c r="H38" s="122" t="s">
        <v>262</v>
      </c>
      <c r="I38" s="122" t="s">
        <v>263</v>
      </c>
      <c r="J38" s="122" t="s">
        <v>264</v>
      </c>
      <c r="K38" s="20"/>
      <c r="L38" s="67"/>
      <c r="M38" s="67"/>
      <c r="N38" s="20"/>
    </row>
    <row r="39" spans="1:14" x14ac:dyDescent="0.25">
      <c r="A39" s="118"/>
      <c r="B39" s="123"/>
      <c r="C39" s="792"/>
      <c r="D39" s="792"/>
      <c r="E39" s="125"/>
      <c r="F39" s="124"/>
      <c r="G39" s="122"/>
      <c r="H39" s="122"/>
      <c r="I39" s="122"/>
      <c r="J39" s="122"/>
      <c r="K39" s="20"/>
      <c r="L39" s="67"/>
      <c r="M39" s="67"/>
      <c r="N39" s="20"/>
    </row>
    <row r="40" spans="1:14" x14ac:dyDescent="0.25">
      <c r="A40" s="67"/>
      <c r="B40" s="67"/>
      <c r="C40" s="67"/>
      <c r="D40" s="67"/>
      <c r="E40" s="67"/>
      <c r="F40" s="67"/>
      <c r="G40" s="67"/>
      <c r="H40" s="67"/>
      <c r="I40" s="67"/>
      <c r="J40" s="67"/>
      <c r="K40" s="67"/>
      <c r="L40" s="67"/>
      <c r="M40" s="67"/>
      <c r="N40" s="67"/>
    </row>
    <row r="41" spans="1:14" x14ac:dyDescent="0.25">
      <c r="A41" s="67"/>
      <c r="B41" s="109" t="s">
        <v>265</v>
      </c>
      <c r="C41" s="109"/>
      <c r="D41" s="109"/>
      <c r="E41" s="109"/>
      <c r="F41" s="67"/>
      <c r="G41" s="67"/>
      <c r="H41" s="67"/>
      <c r="I41" s="67"/>
      <c r="J41" s="67"/>
      <c r="K41" s="67"/>
      <c r="L41" s="67"/>
      <c r="M41" s="67"/>
      <c r="N41" s="67"/>
    </row>
    <row r="42" spans="1:14" ht="15" customHeight="1" x14ac:dyDescent="0.25">
      <c r="A42" s="67"/>
      <c r="B42" s="793" t="s">
        <v>266</v>
      </c>
      <c r="C42" s="794"/>
      <c r="D42" s="794"/>
      <c r="E42" s="794"/>
      <c r="F42" s="794"/>
      <c r="G42" s="795"/>
      <c r="H42" s="796" t="s">
        <v>267</v>
      </c>
      <c r="I42" s="797"/>
      <c r="J42" s="797"/>
      <c r="K42" s="798"/>
      <c r="L42" s="799" t="s">
        <v>268</v>
      </c>
      <c r="N42" s="20"/>
    </row>
    <row r="43" spans="1:14" ht="24" customHeight="1" x14ac:dyDescent="0.25">
      <c r="A43" s="67"/>
      <c r="B43" s="800" t="s">
        <v>269</v>
      </c>
      <c r="C43" s="801"/>
      <c r="D43" s="801"/>
      <c r="E43" s="801"/>
      <c r="F43" s="801"/>
      <c r="G43" s="802"/>
      <c r="H43" s="800" t="s">
        <v>270</v>
      </c>
      <c r="I43" s="802"/>
      <c r="J43" s="803" t="s">
        <v>271</v>
      </c>
      <c r="K43" s="804"/>
      <c r="L43" s="799"/>
      <c r="N43" s="20"/>
    </row>
    <row r="44" spans="1:14" ht="33.75" x14ac:dyDescent="0.25">
      <c r="A44" s="67"/>
      <c r="B44" s="805" t="s">
        <v>272</v>
      </c>
      <c r="C44" s="806"/>
      <c r="D44" s="126" t="s">
        <v>273</v>
      </c>
      <c r="E44" s="126" t="s">
        <v>274</v>
      </c>
      <c r="F44" s="126" t="s">
        <v>275</v>
      </c>
      <c r="G44" s="126" t="s">
        <v>276</v>
      </c>
      <c r="H44" s="122" t="s">
        <v>255</v>
      </c>
      <c r="I44" s="122" t="s">
        <v>256</v>
      </c>
      <c r="J44" s="122" t="s">
        <v>255</v>
      </c>
      <c r="K44" s="122" t="s">
        <v>256</v>
      </c>
      <c r="L44" s="799"/>
      <c r="N44" s="67"/>
    </row>
    <row r="45" spans="1:14" x14ac:dyDescent="0.25">
      <c r="A45" s="67"/>
      <c r="B45" s="800" t="s">
        <v>277</v>
      </c>
      <c r="C45" s="802"/>
      <c r="D45" s="111" t="s">
        <v>278</v>
      </c>
      <c r="E45" s="111" t="s">
        <v>279</v>
      </c>
      <c r="F45" s="111" t="s">
        <v>280</v>
      </c>
      <c r="G45" s="111" t="s">
        <v>281</v>
      </c>
      <c r="H45" s="111" t="s">
        <v>282</v>
      </c>
      <c r="I45" s="111" t="s">
        <v>283</v>
      </c>
      <c r="J45" s="111" t="s">
        <v>284</v>
      </c>
      <c r="K45" s="111" t="s">
        <v>285</v>
      </c>
      <c r="L45" s="111" t="s">
        <v>286</v>
      </c>
      <c r="N45" s="67"/>
    </row>
    <row r="46" spans="1:14" x14ac:dyDescent="0.25">
      <c r="A46" s="67"/>
      <c r="B46" s="814">
        <f>+SUMIF($H$18:$H$32,B47,$G$18:$G$32)</f>
        <v>83400500</v>
      </c>
      <c r="C46" s="815"/>
      <c r="D46" s="155">
        <f t="shared" ref="D46:F46" si="0">+SUMIF($H$18:$H$32,D47,$G$18:$G$32)</f>
        <v>27398922</v>
      </c>
      <c r="E46" s="155">
        <f t="shared" si="0"/>
        <v>11509513</v>
      </c>
      <c r="F46" s="155">
        <f t="shared" si="0"/>
        <v>10098976</v>
      </c>
      <c r="G46" s="156">
        <f>B46+D46-E46-F46</f>
        <v>89190933</v>
      </c>
      <c r="H46" s="111"/>
      <c r="I46" s="111"/>
      <c r="J46" s="111"/>
      <c r="K46" s="111"/>
      <c r="L46" s="111">
        <f>+COUNT(B19:B32)</f>
        <v>14</v>
      </c>
      <c r="N46" s="67"/>
    </row>
    <row r="47" spans="1:14" x14ac:dyDescent="0.25">
      <c r="A47" s="67"/>
      <c r="B47" s="809">
        <v>9</v>
      </c>
      <c r="C47" s="809"/>
      <c r="D47" s="132">
        <v>1</v>
      </c>
      <c r="E47" s="132">
        <v>2</v>
      </c>
      <c r="F47" s="809">
        <v>4</v>
      </c>
      <c r="G47" s="809"/>
      <c r="H47" s="127"/>
      <c r="I47" s="110"/>
      <c r="J47" s="110"/>
      <c r="K47" s="110"/>
      <c r="L47" s="67"/>
      <c r="M47" s="67"/>
      <c r="N47" s="67"/>
    </row>
    <row r="48" spans="1:14" x14ac:dyDescent="0.25">
      <c r="B48" s="110"/>
      <c r="C48" s="110"/>
      <c r="D48" s="110"/>
      <c r="E48" s="110"/>
      <c r="F48" s="67"/>
      <c r="G48" s="127"/>
      <c r="H48" s="127"/>
      <c r="I48" s="110"/>
      <c r="J48" s="110"/>
      <c r="K48" s="110"/>
      <c r="L48" s="67"/>
      <c r="M48" s="67"/>
      <c r="N48" s="67"/>
    </row>
    <row r="49" spans="2:14" ht="9" customHeight="1" x14ac:dyDescent="0.25">
      <c r="B49" s="789" t="s">
        <v>287</v>
      </c>
      <c r="C49" s="789"/>
      <c r="D49" s="789"/>
      <c r="E49" s="789"/>
      <c r="F49" s="789"/>
      <c r="G49" s="789"/>
      <c r="H49" s="789"/>
      <c r="I49" s="789"/>
      <c r="J49" s="789"/>
      <c r="K49" s="789"/>
      <c r="L49" s="789"/>
      <c r="M49" s="118"/>
      <c r="N49" s="118"/>
    </row>
    <row r="50" spans="2:14" ht="9" customHeight="1" x14ac:dyDescent="0.25">
      <c r="B50" s="789"/>
      <c r="C50" s="789"/>
      <c r="D50" s="789"/>
      <c r="E50" s="789"/>
      <c r="F50" s="789"/>
      <c r="G50" s="789"/>
      <c r="H50" s="789"/>
      <c r="I50" s="789"/>
      <c r="J50" s="789"/>
      <c r="K50" s="789"/>
      <c r="L50" s="789"/>
      <c r="M50" s="118"/>
      <c r="N50" s="118"/>
    </row>
    <row r="51" spans="2:14" x14ac:dyDescent="0.25">
      <c r="B51" s="790" t="s">
        <v>288</v>
      </c>
      <c r="C51" s="790"/>
      <c r="D51" s="790"/>
      <c r="E51" s="67"/>
      <c r="F51" s="67"/>
      <c r="G51" s="67"/>
      <c r="H51" s="67"/>
      <c r="I51" s="67"/>
      <c r="J51" s="67"/>
      <c r="K51" s="67"/>
      <c r="L51" s="67"/>
      <c r="M51" s="67"/>
      <c r="N51" s="118"/>
    </row>
    <row r="52" spans="2:14" x14ac:dyDescent="0.25">
      <c r="B52" s="791"/>
      <c r="C52" s="791"/>
      <c r="D52" s="791"/>
      <c r="E52" s="67"/>
      <c r="F52" s="67"/>
      <c r="G52" s="67"/>
      <c r="H52" s="67"/>
      <c r="I52" s="67"/>
      <c r="J52" s="67"/>
      <c r="K52" s="67"/>
      <c r="L52" s="67"/>
      <c r="M52" s="67"/>
      <c r="N52" s="118"/>
    </row>
    <row r="53" spans="2:14" x14ac:dyDescent="0.25">
      <c r="B53" s="118"/>
      <c r="C53" s="118"/>
      <c r="D53" s="67"/>
      <c r="E53" s="67"/>
      <c r="F53" s="67"/>
      <c r="G53" s="67"/>
      <c r="H53" s="67"/>
      <c r="I53" s="67"/>
      <c r="J53" s="67"/>
      <c r="K53" s="67"/>
      <c r="L53" s="67"/>
      <c r="M53" s="67"/>
      <c r="N53" s="118"/>
    </row>
  </sheetData>
  <mergeCells count="51">
    <mergeCell ref="B45:C45"/>
    <mergeCell ref="C39:D39"/>
    <mergeCell ref="C19:D19"/>
    <mergeCell ref="C20:D20"/>
    <mergeCell ref="C21:D21"/>
    <mergeCell ref="C24:D24"/>
    <mergeCell ref="C25:D25"/>
    <mergeCell ref="C26:D26"/>
    <mergeCell ref="C27:D27"/>
    <mergeCell ref="C28:D28"/>
    <mergeCell ref="C29:D29"/>
    <mergeCell ref="C30:D30"/>
    <mergeCell ref="C31:D31"/>
    <mergeCell ref="C32:D32"/>
    <mergeCell ref="C18:D18"/>
    <mergeCell ref="B46:C46"/>
    <mergeCell ref="B11:E11"/>
    <mergeCell ref="F11:H11"/>
    <mergeCell ref="B9:E9"/>
    <mergeCell ref="F9:H9"/>
    <mergeCell ref="B13:E13"/>
    <mergeCell ref="F13:H13"/>
    <mergeCell ref="B14:E14"/>
    <mergeCell ref="F14:H14"/>
    <mergeCell ref="C17:D17"/>
    <mergeCell ref="B36:B37"/>
    <mergeCell ref="C36:D37"/>
    <mergeCell ref="E36:E37"/>
    <mergeCell ref="C22:D22"/>
    <mergeCell ref="C23:D23"/>
    <mergeCell ref="I9:J10"/>
    <mergeCell ref="B10:E10"/>
    <mergeCell ref="F10:H10"/>
    <mergeCell ref="B12:E12"/>
    <mergeCell ref="F12:H12"/>
    <mergeCell ref="B49:L50"/>
    <mergeCell ref="B51:D51"/>
    <mergeCell ref="B52:D52"/>
    <mergeCell ref="G36:H36"/>
    <mergeCell ref="I36:J36"/>
    <mergeCell ref="C38:D38"/>
    <mergeCell ref="B42:G42"/>
    <mergeCell ref="H42:K42"/>
    <mergeCell ref="L42:L44"/>
    <mergeCell ref="B43:G43"/>
    <mergeCell ref="H43:I43"/>
    <mergeCell ref="J43:K43"/>
    <mergeCell ref="B44:C44"/>
    <mergeCell ref="F36:F37"/>
    <mergeCell ref="B47:C47"/>
    <mergeCell ref="F47:G47"/>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4FA6-B414-4C13-9CD6-CC8B7D6E0B78}">
  <dimension ref="B2:GM52"/>
  <sheetViews>
    <sheetView showGridLines="0" zoomScale="77" zoomScaleNormal="77" workbookViewId="0"/>
  </sheetViews>
  <sheetFormatPr baseColWidth="10" defaultColWidth="11.42578125" defaultRowHeight="15" x14ac:dyDescent="0.25"/>
  <cols>
    <col min="1" max="1" width="4.85546875" style="171" customWidth="1"/>
    <col min="2" max="2" width="16.140625" style="171" customWidth="1"/>
    <col min="3" max="3" width="16.7109375" style="171" customWidth="1"/>
    <col min="4" max="4" width="19.140625" style="171" customWidth="1"/>
    <col min="5" max="5" width="13.28515625" style="171" customWidth="1"/>
    <col min="6" max="6" width="12.85546875" style="171" customWidth="1"/>
    <col min="7" max="7" width="15.85546875" style="171" customWidth="1"/>
    <col min="8" max="8" width="17.140625" style="171" customWidth="1"/>
    <col min="9" max="9" width="15.7109375" style="171" customWidth="1"/>
    <col min="10" max="10" width="23.42578125" style="171" customWidth="1"/>
    <col min="11" max="11" width="22.85546875" style="171" customWidth="1"/>
    <col min="12" max="12" width="19.42578125" style="171" customWidth="1"/>
    <col min="13" max="13" width="15.7109375" style="171" customWidth="1"/>
    <col min="14" max="14" width="25.85546875" style="171" customWidth="1"/>
    <col min="15" max="16" width="18.7109375" style="171" customWidth="1"/>
    <col min="17" max="17" width="15.85546875" style="171" customWidth="1"/>
    <col min="18" max="18" width="16.42578125" style="171" customWidth="1"/>
    <col min="19" max="19" width="15.28515625" style="171" customWidth="1"/>
    <col min="20" max="20" width="16.42578125" style="171" customWidth="1"/>
    <col min="21" max="21" width="15.28515625" style="171" customWidth="1"/>
    <col min="22" max="26" width="15" style="171" customWidth="1"/>
    <col min="27" max="27" width="16.5703125" style="171" customWidth="1"/>
    <col min="28" max="31" width="13.5703125" style="171" customWidth="1"/>
    <col min="32" max="32" width="17.28515625" style="171" customWidth="1"/>
    <col min="33" max="33" width="12.5703125" style="171" customWidth="1"/>
    <col min="34" max="34" width="13.28515625" style="171" customWidth="1"/>
    <col min="35" max="35" width="11.5703125" style="171" customWidth="1"/>
    <col min="36" max="36" width="12.28515625" style="171" customWidth="1"/>
    <col min="37" max="37" width="14.42578125" style="171" customWidth="1"/>
    <col min="38" max="47" width="11.42578125" style="171"/>
    <col min="48" max="48" width="13" style="171" customWidth="1"/>
    <col min="49" max="16384" width="11.42578125" style="171"/>
  </cols>
  <sheetData>
    <row r="2" spans="2:34" ht="18.75" customHeight="1" x14ac:dyDescent="0.25">
      <c r="D2" s="827"/>
      <c r="E2" s="827"/>
      <c r="F2" s="827"/>
      <c r="G2" s="827"/>
      <c r="H2" s="827"/>
      <c r="I2" s="827"/>
      <c r="J2" s="827"/>
      <c r="K2" s="827"/>
      <c r="L2" s="827"/>
      <c r="M2" s="827"/>
    </row>
    <row r="3" spans="2:34" ht="23.25" customHeight="1" x14ac:dyDescent="0.25">
      <c r="D3" s="827"/>
      <c r="E3" s="827"/>
      <c r="F3" s="827"/>
      <c r="G3" s="827"/>
      <c r="H3" s="827"/>
      <c r="I3" s="827"/>
      <c r="J3" s="827"/>
      <c r="K3" s="827"/>
      <c r="L3" s="827"/>
      <c r="M3" s="827"/>
    </row>
    <row r="4" spans="2:34" ht="21" x14ac:dyDescent="0.35">
      <c r="D4" s="172"/>
      <c r="E4" s="173"/>
      <c r="F4" s="173"/>
    </row>
    <row r="5" spans="2:34" ht="16.5" customHeight="1" x14ac:dyDescent="0.25">
      <c r="B5" s="85" t="s">
        <v>289</v>
      </c>
    </row>
    <row r="6" spans="2:34" ht="15.75" x14ac:dyDescent="0.25">
      <c r="R6" s="67"/>
      <c r="S6" s="67"/>
      <c r="T6" s="67"/>
      <c r="U6" s="67"/>
      <c r="AH6" s="174" t="s">
        <v>290</v>
      </c>
    </row>
    <row r="7" spans="2:34" x14ac:dyDescent="0.25">
      <c r="B7" s="16" t="s">
        <v>291</v>
      </c>
      <c r="AE7" s="175"/>
      <c r="AG7" s="176" t="s">
        <v>219</v>
      </c>
      <c r="AH7" s="177"/>
    </row>
    <row r="9" spans="2:34" ht="15" customHeight="1" x14ac:dyDescent="0.25">
      <c r="B9" s="178" t="s">
        <v>292</v>
      </c>
      <c r="C9" s="179"/>
      <c r="D9" s="828" t="s">
        <v>293</v>
      </c>
      <c r="E9" s="829"/>
      <c r="F9" s="830"/>
    </row>
    <row r="10" spans="2:34" x14ac:dyDescent="0.25">
      <c r="B10" s="178"/>
      <c r="C10" s="179"/>
      <c r="D10" s="178"/>
      <c r="E10" s="180"/>
      <c r="F10" s="179"/>
    </row>
    <row r="11" spans="2:34" ht="15" customHeight="1" x14ac:dyDescent="0.25">
      <c r="B11" s="828" t="s">
        <v>294</v>
      </c>
      <c r="C11" s="830"/>
      <c r="D11" s="828" t="s">
        <v>295</v>
      </c>
      <c r="E11" s="829"/>
      <c r="F11" s="830"/>
    </row>
    <row r="12" spans="2:34" x14ac:dyDescent="0.25">
      <c r="B12" s="178"/>
      <c r="C12" s="179"/>
      <c r="D12" s="178"/>
      <c r="E12" s="180"/>
      <c r="F12" s="179"/>
    </row>
    <row r="13" spans="2:34" x14ac:dyDescent="0.25">
      <c r="B13" s="178" t="s">
        <v>296</v>
      </c>
      <c r="C13" s="179"/>
      <c r="D13" s="828" t="s">
        <v>297</v>
      </c>
      <c r="E13" s="829"/>
      <c r="F13" s="830"/>
    </row>
    <row r="14" spans="2:34" x14ac:dyDescent="0.25">
      <c r="B14" s="178"/>
      <c r="C14" s="179"/>
      <c r="D14" s="828"/>
      <c r="E14" s="829"/>
      <c r="F14" s="830"/>
    </row>
    <row r="17" spans="2:195" x14ac:dyDescent="0.25">
      <c r="B17" s="171" t="s">
        <v>298</v>
      </c>
      <c r="C17" s="171" t="s">
        <v>299</v>
      </c>
    </row>
    <row r="18" spans="2:195" ht="21.75" customHeight="1" x14ac:dyDescent="0.25">
      <c r="B18" s="831" t="s">
        <v>300</v>
      </c>
      <c r="C18" s="831" t="s">
        <v>301</v>
      </c>
      <c r="D18" s="831" t="s">
        <v>302</v>
      </c>
      <c r="E18" s="831" t="s">
        <v>303</v>
      </c>
      <c r="F18" s="832" t="s">
        <v>304</v>
      </c>
      <c r="G18" s="832"/>
      <c r="H18" s="832"/>
      <c r="I18" s="832"/>
      <c r="J18" s="832"/>
      <c r="K18" s="832"/>
      <c r="L18" s="832"/>
      <c r="M18" s="832"/>
      <c r="N18" s="832"/>
      <c r="O18" s="832"/>
      <c r="P18" s="832"/>
      <c r="Q18" s="832"/>
      <c r="R18" s="831" t="s">
        <v>305</v>
      </c>
      <c r="S18" s="831"/>
      <c r="T18" s="831"/>
      <c r="U18" s="831"/>
      <c r="V18" s="831"/>
      <c r="W18" s="831"/>
      <c r="X18" s="831"/>
      <c r="Y18" s="831"/>
      <c r="Z18" s="831"/>
      <c r="AA18" s="831"/>
      <c r="AB18" s="831"/>
      <c r="AC18" s="831"/>
      <c r="AD18" s="831"/>
      <c r="AE18" s="831"/>
      <c r="AF18" s="831"/>
      <c r="AG18" s="831" t="s">
        <v>306</v>
      </c>
      <c r="AH18" s="831" t="s">
        <v>307</v>
      </c>
    </row>
    <row r="19" spans="2:195" ht="27" customHeight="1" x14ac:dyDescent="0.25">
      <c r="B19" s="831"/>
      <c r="C19" s="831"/>
      <c r="D19" s="831"/>
      <c r="E19" s="831"/>
      <c r="F19" s="831" t="s">
        <v>308</v>
      </c>
      <c r="G19" s="831"/>
      <c r="H19" s="831"/>
      <c r="I19" s="831"/>
      <c r="J19" s="833" t="s">
        <v>309</v>
      </c>
      <c r="K19" s="834"/>
      <c r="L19" s="834"/>
      <c r="M19" s="834"/>
      <c r="N19" s="834"/>
      <c r="O19" s="181"/>
      <c r="P19" s="181"/>
      <c r="Q19" s="181"/>
      <c r="R19" s="833" t="s">
        <v>310</v>
      </c>
      <c r="S19" s="834"/>
      <c r="T19" s="834"/>
      <c r="U19" s="834"/>
      <c r="V19" s="834"/>
      <c r="W19" s="834"/>
      <c r="X19" s="834"/>
      <c r="Y19" s="834"/>
      <c r="Z19" s="835"/>
      <c r="AA19" s="833" t="s">
        <v>311</v>
      </c>
      <c r="AB19" s="834"/>
      <c r="AC19" s="834"/>
      <c r="AD19" s="834"/>
      <c r="AE19" s="835"/>
      <c r="AF19" s="831" t="s">
        <v>312</v>
      </c>
      <c r="AG19" s="831"/>
      <c r="AH19" s="831"/>
    </row>
    <row r="20" spans="2:195" ht="55.5" customHeight="1" x14ac:dyDescent="0.25">
      <c r="B20" s="831"/>
      <c r="C20" s="831"/>
      <c r="D20" s="831"/>
      <c r="E20" s="831"/>
      <c r="F20" s="831"/>
      <c r="G20" s="831"/>
      <c r="H20" s="831"/>
      <c r="I20" s="831"/>
      <c r="J20" s="838" t="s">
        <v>313</v>
      </c>
      <c r="K20" s="839"/>
      <c r="L20" s="839"/>
      <c r="M20" s="839"/>
      <c r="N20" s="839"/>
      <c r="O20" s="836" t="s">
        <v>314</v>
      </c>
      <c r="P20" s="837"/>
      <c r="Q20" s="824" t="s">
        <v>315</v>
      </c>
      <c r="R20" s="833" t="s">
        <v>316</v>
      </c>
      <c r="S20" s="834"/>
      <c r="T20" s="834"/>
      <c r="U20" s="834"/>
      <c r="V20" s="834"/>
      <c r="W20" s="835"/>
      <c r="X20" s="836" t="s">
        <v>317</v>
      </c>
      <c r="Y20" s="837"/>
      <c r="Z20" s="824" t="s">
        <v>318</v>
      </c>
      <c r="AA20" s="833" t="s">
        <v>316</v>
      </c>
      <c r="AB20" s="835"/>
      <c r="AC20" s="833" t="s">
        <v>319</v>
      </c>
      <c r="AD20" s="835"/>
      <c r="AE20" s="824" t="s">
        <v>318</v>
      </c>
      <c r="AF20" s="831"/>
      <c r="AG20" s="831"/>
      <c r="AH20" s="831"/>
    </row>
    <row r="21" spans="2:195" ht="56.25" customHeight="1" x14ac:dyDescent="0.25">
      <c r="B21" s="831"/>
      <c r="C21" s="831"/>
      <c r="D21" s="831"/>
      <c r="E21" s="831"/>
      <c r="F21" s="831"/>
      <c r="G21" s="831"/>
      <c r="H21" s="831"/>
      <c r="I21" s="831"/>
      <c r="J21" s="824" t="s">
        <v>320</v>
      </c>
      <c r="K21" s="837" t="s">
        <v>321</v>
      </c>
      <c r="L21" s="824" t="s">
        <v>322</v>
      </c>
      <c r="M21" s="824" t="s">
        <v>323</v>
      </c>
      <c r="N21" s="824" t="s">
        <v>324</v>
      </c>
      <c r="O21" s="836" t="s">
        <v>325</v>
      </c>
      <c r="P21" s="824" t="s">
        <v>326</v>
      </c>
      <c r="Q21" s="825"/>
      <c r="R21" s="833" t="s">
        <v>327</v>
      </c>
      <c r="S21" s="835"/>
      <c r="T21" s="833" t="s">
        <v>328</v>
      </c>
      <c r="U21" s="835"/>
      <c r="V21" s="833" t="s">
        <v>329</v>
      </c>
      <c r="W21" s="835"/>
      <c r="X21" s="833" t="s">
        <v>329</v>
      </c>
      <c r="Y21" s="835"/>
      <c r="Z21" s="825"/>
      <c r="AA21" s="831" t="s">
        <v>330</v>
      </c>
      <c r="AB21" s="831" t="s">
        <v>331</v>
      </c>
      <c r="AC21" s="831" t="s">
        <v>330</v>
      </c>
      <c r="AD21" s="831" t="s">
        <v>331</v>
      </c>
      <c r="AE21" s="825"/>
      <c r="AF21" s="831"/>
      <c r="AG21" s="831"/>
      <c r="AH21" s="831"/>
      <c r="GM21" s="171" t="s">
        <v>332</v>
      </c>
    </row>
    <row r="22" spans="2:195" ht="44.25" customHeight="1" x14ac:dyDescent="0.25">
      <c r="B22" s="831"/>
      <c r="C22" s="831"/>
      <c r="D22" s="831"/>
      <c r="E22" s="831"/>
      <c r="F22" s="831" t="s">
        <v>333</v>
      </c>
      <c r="G22" s="831" t="s">
        <v>334</v>
      </c>
      <c r="H22" s="831" t="s">
        <v>335</v>
      </c>
      <c r="I22" s="831" t="s">
        <v>336</v>
      </c>
      <c r="J22" s="825"/>
      <c r="K22" s="840"/>
      <c r="L22" s="825"/>
      <c r="M22" s="825"/>
      <c r="N22" s="825"/>
      <c r="O22" s="842"/>
      <c r="P22" s="825"/>
      <c r="Q22" s="825"/>
      <c r="R22" s="831" t="s">
        <v>330</v>
      </c>
      <c r="S22" s="831" t="s">
        <v>331</v>
      </c>
      <c r="T22" s="831" t="s">
        <v>330</v>
      </c>
      <c r="U22" s="831" t="s">
        <v>331</v>
      </c>
      <c r="V22" s="831" t="s">
        <v>330</v>
      </c>
      <c r="W22" s="831" t="s">
        <v>331</v>
      </c>
      <c r="X22" s="831" t="s">
        <v>330</v>
      </c>
      <c r="Y22" s="831" t="s">
        <v>331</v>
      </c>
      <c r="Z22" s="825"/>
      <c r="AA22" s="831"/>
      <c r="AB22" s="831"/>
      <c r="AC22" s="831"/>
      <c r="AD22" s="831"/>
      <c r="AE22" s="825"/>
      <c r="AF22" s="831"/>
      <c r="AG22" s="831"/>
      <c r="AH22" s="831"/>
    </row>
    <row r="23" spans="2:195" ht="67.5" customHeight="1" x14ac:dyDescent="0.25">
      <c r="B23" s="831"/>
      <c r="C23" s="831"/>
      <c r="D23" s="831"/>
      <c r="E23" s="831"/>
      <c r="F23" s="831"/>
      <c r="G23" s="831"/>
      <c r="H23" s="831"/>
      <c r="I23" s="831"/>
      <c r="J23" s="826"/>
      <c r="K23" s="841"/>
      <c r="L23" s="826"/>
      <c r="M23" s="826"/>
      <c r="N23" s="826"/>
      <c r="O23" s="843"/>
      <c r="P23" s="826"/>
      <c r="Q23" s="826"/>
      <c r="R23" s="831"/>
      <c r="S23" s="831"/>
      <c r="T23" s="831"/>
      <c r="U23" s="831"/>
      <c r="V23" s="831"/>
      <c r="W23" s="831"/>
      <c r="X23" s="831"/>
      <c r="Y23" s="831"/>
      <c r="Z23" s="826"/>
      <c r="AA23" s="831"/>
      <c r="AB23" s="831"/>
      <c r="AC23" s="831"/>
      <c r="AD23" s="831"/>
      <c r="AE23" s="826"/>
      <c r="AF23" s="831"/>
      <c r="AG23" s="831"/>
      <c r="AH23" s="831"/>
    </row>
    <row r="24" spans="2:195" x14ac:dyDescent="0.25">
      <c r="B24" s="182" t="s">
        <v>337</v>
      </c>
      <c r="C24" s="182" t="s">
        <v>240</v>
      </c>
      <c r="D24" s="182" t="s">
        <v>241</v>
      </c>
      <c r="E24" s="182" t="s">
        <v>242</v>
      </c>
      <c r="F24" s="182" t="s">
        <v>243</v>
      </c>
      <c r="G24" s="182" t="s">
        <v>244</v>
      </c>
      <c r="H24" s="182" t="s">
        <v>257</v>
      </c>
      <c r="I24" s="182" t="s">
        <v>258</v>
      </c>
      <c r="J24" s="182" t="s">
        <v>259</v>
      </c>
      <c r="K24" s="182" t="s">
        <v>260</v>
      </c>
      <c r="L24" s="182" t="s">
        <v>261</v>
      </c>
      <c r="M24" s="182" t="s">
        <v>262</v>
      </c>
      <c r="N24" s="182" t="s">
        <v>263</v>
      </c>
      <c r="O24" s="182" t="s">
        <v>264</v>
      </c>
      <c r="P24" s="182" t="s">
        <v>286</v>
      </c>
      <c r="Q24" s="182" t="s">
        <v>278</v>
      </c>
      <c r="R24" s="182" t="s">
        <v>279</v>
      </c>
      <c r="S24" s="182" t="s">
        <v>338</v>
      </c>
      <c r="T24" s="182" t="s">
        <v>282</v>
      </c>
      <c r="U24" s="182" t="s">
        <v>283</v>
      </c>
      <c r="V24" s="182" t="s">
        <v>284</v>
      </c>
      <c r="W24" s="182" t="s">
        <v>285</v>
      </c>
      <c r="X24" s="182" t="s">
        <v>229</v>
      </c>
      <c r="Y24" s="182" t="s">
        <v>230</v>
      </c>
      <c r="Z24" s="182" t="s">
        <v>280</v>
      </c>
      <c r="AA24" s="182" t="s">
        <v>339</v>
      </c>
      <c r="AB24" s="182" t="s">
        <v>277</v>
      </c>
      <c r="AC24" s="182" t="s">
        <v>281</v>
      </c>
      <c r="AD24" s="182" t="s">
        <v>340</v>
      </c>
      <c r="AE24" s="182" t="s">
        <v>341</v>
      </c>
      <c r="AF24" s="182" t="s">
        <v>342</v>
      </c>
      <c r="AG24" s="182" t="s">
        <v>343</v>
      </c>
      <c r="AH24" s="182" t="s">
        <v>344</v>
      </c>
    </row>
    <row r="25" spans="2:195" x14ac:dyDescent="0.25">
      <c r="B25" s="182" t="s">
        <v>345</v>
      </c>
      <c r="C25" s="194" t="s">
        <v>346</v>
      </c>
      <c r="D25" s="182" t="s">
        <v>347</v>
      </c>
      <c r="E25" s="182"/>
      <c r="F25" s="195">
        <f>'Retiros y situacion Trib.'!G7</f>
        <v>55188000</v>
      </c>
      <c r="G25" s="182"/>
      <c r="H25" s="182"/>
      <c r="I25" s="182"/>
      <c r="J25" s="182"/>
      <c r="K25" s="182"/>
      <c r="L25" s="182"/>
      <c r="M25" s="182"/>
      <c r="N25" s="182"/>
      <c r="O25" s="182"/>
      <c r="P25" s="182"/>
      <c r="Q25" s="182"/>
      <c r="R25" s="182"/>
      <c r="S25" s="182"/>
      <c r="T25" s="182"/>
      <c r="U25" s="182"/>
      <c r="V25" s="195">
        <f>'Retiros y situacion Trib.'!H19</f>
        <v>3399428</v>
      </c>
      <c r="W25" s="195">
        <f>'Retiros y situacion Trib.'!H18</f>
        <v>17430606</v>
      </c>
      <c r="X25" s="182"/>
      <c r="Y25" s="182"/>
      <c r="Z25" s="195">
        <f>'Retiros y situacion Trib.'!H23</f>
        <v>1130242</v>
      </c>
      <c r="AA25" s="182"/>
      <c r="AB25" s="182"/>
      <c r="AC25" s="182"/>
      <c r="AD25" s="182"/>
      <c r="AE25" s="182"/>
      <c r="AF25" s="182"/>
      <c r="AG25" s="182"/>
      <c r="AH25" s="182">
        <v>1</v>
      </c>
    </row>
    <row r="26" spans="2:195" x14ac:dyDescent="0.25">
      <c r="B26" s="182" t="s">
        <v>348</v>
      </c>
      <c r="C26" s="194" t="s">
        <v>349</v>
      </c>
      <c r="D26" s="182" t="s">
        <v>350</v>
      </c>
      <c r="E26" s="182"/>
      <c r="F26" s="195">
        <f>'Retiros y situacion Trib.'!P5</f>
        <v>6096000</v>
      </c>
      <c r="G26" s="182"/>
      <c r="H26" s="182"/>
      <c r="I26" s="182"/>
      <c r="J26" s="182"/>
      <c r="K26" s="182"/>
      <c r="L26" s="182"/>
      <c r="M26" s="182"/>
      <c r="N26" s="182"/>
      <c r="O26" s="182"/>
      <c r="P26" s="182"/>
      <c r="Q26" s="182"/>
      <c r="R26" s="182"/>
      <c r="S26" s="182"/>
      <c r="T26" s="182"/>
      <c r="U26" s="182"/>
      <c r="V26" s="182"/>
      <c r="W26" s="195">
        <f>'Retiros y situacion Trib.'!P18</f>
        <v>2254685</v>
      </c>
      <c r="X26" s="182"/>
      <c r="Y26" s="182"/>
      <c r="Z26" s="182"/>
      <c r="AA26" s="182"/>
      <c r="AB26" s="182"/>
      <c r="AC26" s="182"/>
      <c r="AD26" s="182"/>
      <c r="AE26" s="182"/>
      <c r="AF26" s="182"/>
      <c r="AG26" s="182"/>
      <c r="AH26" s="182">
        <v>2</v>
      </c>
    </row>
    <row r="27" spans="2:195" x14ac:dyDescent="0.25">
      <c r="B27" s="183"/>
      <c r="C27" s="183"/>
      <c r="D27" s="183"/>
      <c r="E27" s="183"/>
      <c r="F27" s="183"/>
      <c r="G27" s="183"/>
      <c r="H27" s="183"/>
      <c r="I27" s="183"/>
      <c r="J27" s="183"/>
      <c r="K27" s="183"/>
      <c r="L27" s="183"/>
      <c r="M27" s="183"/>
      <c r="N27" s="184"/>
      <c r="O27" s="183"/>
      <c r="P27" s="183"/>
      <c r="Q27" s="183"/>
      <c r="R27" s="183"/>
      <c r="S27" s="183"/>
      <c r="T27" s="183"/>
      <c r="U27" s="183"/>
      <c r="V27" s="183"/>
      <c r="W27" s="183"/>
      <c r="X27" s="183"/>
      <c r="Y27" s="183"/>
      <c r="Z27" s="183"/>
      <c r="AA27" s="183"/>
      <c r="AB27" s="183"/>
      <c r="AC27" s="183"/>
      <c r="AD27" s="183"/>
      <c r="AE27" s="183"/>
      <c r="AF27" s="183"/>
      <c r="AG27" s="183"/>
      <c r="AH27" s="183"/>
    </row>
    <row r="28" spans="2:195" x14ac:dyDescent="0.25">
      <c r="B28" s="183"/>
      <c r="C28" s="183"/>
      <c r="D28" s="183"/>
      <c r="E28" s="183"/>
      <c r="F28" s="183"/>
      <c r="G28" s="183"/>
      <c r="H28" s="183"/>
      <c r="I28" s="183"/>
      <c r="J28" s="183"/>
      <c r="K28" s="183"/>
      <c r="L28" s="183"/>
      <c r="M28" s="183"/>
      <c r="O28" s="183"/>
      <c r="P28" s="183"/>
      <c r="Q28" s="183"/>
      <c r="R28" s="183"/>
      <c r="S28" s="183"/>
      <c r="T28" s="183"/>
      <c r="U28" s="183"/>
      <c r="V28" s="183"/>
      <c r="W28" s="183"/>
      <c r="X28" s="183"/>
      <c r="Y28" s="183"/>
      <c r="Z28" s="183"/>
      <c r="AA28" s="183"/>
      <c r="AB28" s="183"/>
      <c r="AC28" s="183"/>
      <c r="AD28" s="183"/>
      <c r="AE28" s="183"/>
      <c r="AF28" s="183"/>
      <c r="AG28" s="183"/>
      <c r="AH28" s="183"/>
    </row>
    <row r="29" spans="2:195" x14ac:dyDescent="0.25">
      <c r="I29" s="185"/>
      <c r="J29" s="185"/>
      <c r="K29" s="185"/>
      <c r="L29" s="185"/>
      <c r="M29" s="185"/>
      <c r="N29" s="184"/>
    </row>
    <row r="30" spans="2:195" x14ac:dyDescent="0.25">
      <c r="B30" s="171" t="s">
        <v>351</v>
      </c>
      <c r="C30" s="171" t="s">
        <v>352</v>
      </c>
    </row>
    <row r="31" spans="2:195" ht="15" customHeight="1" x14ac:dyDescent="0.25">
      <c r="B31" s="831" t="s">
        <v>353</v>
      </c>
      <c r="C31" s="831" t="s">
        <v>354</v>
      </c>
      <c r="D31" s="186"/>
      <c r="F31" s="187"/>
      <c r="G31" s="187"/>
      <c r="H31" s="187"/>
    </row>
    <row r="32" spans="2:195" ht="15" customHeight="1" x14ac:dyDescent="0.25">
      <c r="B32" s="831"/>
      <c r="C32" s="831"/>
      <c r="D32" s="186"/>
    </row>
    <row r="33" spans="2:32" ht="15" customHeight="1" x14ac:dyDescent="0.25">
      <c r="B33" s="831"/>
      <c r="C33" s="831"/>
      <c r="D33" s="186"/>
    </row>
    <row r="34" spans="2:32" x14ac:dyDescent="0.25">
      <c r="B34" s="831"/>
      <c r="C34" s="831"/>
      <c r="D34" s="186"/>
    </row>
    <row r="35" spans="2:32" x14ac:dyDescent="0.25">
      <c r="B35" s="831"/>
      <c r="C35" s="831"/>
      <c r="D35" s="186"/>
      <c r="R35" s="185"/>
      <c r="T35" s="185"/>
    </row>
    <row r="36" spans="2:32" x14ac:dyDescent="0.25">
      <c r="B36" s="188" t="s">
        <v>355</v>
      </c>
      <c r="C36" s="188" t="s">
        <v>356</v>
      </c>
      <c r="D36" s="183"/>
    </row>
    <row r="38" spans="2:32" x14ac:dyDescent="0.25">
      <c r="B38" s="848" t="s">
        <v>357</v>
      </c>
      <c r="C38" s="849"/>
      <c r="D38" s="849"/>
      <c r="E38" s="849"/>
      <c r="F38" s="849"/>
      <c r="G38" s="849"/>
      <c r="H38" s="849"/>
      <c r="I38" s="849"/>
      <c r="J38" s="849"/>
      <c r="K38" s="849"/>
      <c r="L38" s="849"/>
      <c r="M38" s="849"/>
      <c r="N38" s="849"/>
      <c r="O38" s="849"/>
      <c r="P38" s="849"/>
      <c r="Q38" s="849"/>
      <c r="R38" s="849"/>
      <c r="S38" s="849"/>
      <c r="T38" s="849"/>
      <c r="U38" s="849"/>
      <c r="V38" s="849"/>
      <c r="W38" s="849"/>
      <c r="X38" s="849"/>
      <c r="Y38" s="849"/>
      <c r="Z38" s="849"/>
      <c r="AA38" s="849"/>
      <c r="AB38" s="849"/>
      <c r="AC38" s="849"/>
      <c r="AD38" s="849"/>
      <c r="AE38" s="849"/>
      <c r="AF38" s="850"/>
    </row>
    <row r="39" spans="2:32" ht="36" customHeight="1" x14ac:dyDescent="0.25">
      <c r="B39" s="831" t="s">
        <v>303</v>
      </c>
      <c r="C39" s="832" t="s">
        <v>304</v>
      </c>
      <c r="D39" s="832"/>
      <c r="E39" s="832"/>
      <c r="F39" s="832"/>
      <c r="G39" s="832"/>
      <c r="H39" s="832"/>
      <c r="I39" s="832"/>
      <c r="J39" s="832"/>
      <c r="K39" s="832"/>
      <c r="L39" s="832"/>
      <c r="M39" s="832"/>
      <c r="N39" s="832"/>
      <c r="O39" s="831" t="s">
        <v>305</v>
      </c>
      <c r="P39" s="831"/>
      <c r="Q39" s="831"/>
      <c r="R39" s="831"/>
      <c r="S39" s="831"/>
      <c r="T39" s="831"/>
      <c r="U39" s="831"/>
      <c r="V39" s="831"/>
      <c r="W39" s="831"/>
      <c r="X39" s="831"/>
      <c r="Y39" s="831"/>
      <c r="Z39" s="831"/>
      <c r="AA39" s="831"/>
      <c r="AB39" s="831"/>
      <c r="AC39" s="831"/>
      <c r="AD39" s="831" t="s">
        <v>306</v>
      </c>
      <c r="AE39" s="824" t="s">
        <v>354</v>
      </c>
      <c r="AF39" s="851" t="s">
        <v>358</v>
      </c>
    </row>
    <row r="40" spans="2:32" ht="28.5" customHeight="1" x14ac:dyDescent="0.25">
      <c r="B40" s="831"/>
      <c r="C40" s="831" t="s">
        <v>308</v>
      </c>
      <c r="D40" s="831"/>
      <c r="E40" s="831"/>
      <c r="F40" s="831"/>
      <c r="G40" s="833" t="s">
        <v>359</v>
      </c>
      <c r="H40" s="834"/>
      <c r="I40" s="834"/>
      <c r="J40" s="834"/>
      <c r="K40" s="834"/>
      <c r="L40" s="181"/>
      <c r="M40" s="181"/>
      <c r="N40" s="181"/>
      <c r="O40" s="833" t="s">
        <v>310</v>
      </c>
      <c r="P40" s="834"/>
      <c r="Q40" s="834"/>
      <c r="R40" s="834"/>
      <c r="S40" s="834"/>
      <c r="T40" s="834"/>
      <c r="U40" s="834"/>
      <c r="V40" s="834"/>
      <c r="W40" s="835"/>
      <c r="X40" s="833" t="s">
        <v>311</v>
      </c>
      <c r="Y40" s="834"/>
      <c r="Z40" s="834"/>
      <c r="AA40" s="834"/>
      <c r="AB40" s="835"/>
      <c r="AC40" s="831" t="s">
        <v>312</v>
      </c>
      <c r="AD40" s="831"/>
      <c r="AE40" s="825"/>
      <c r="AF40" s="851"/>
    </row>
    <row r="41" spans="2:32" ht="54" customHeight="1" x14ac:dyDescent="0.25">
      <c r="B41" s="831"/>
      <c r="C41" s="831"/>
      <c r="D41" s="831"/>
      <c r="E41" s="831"/>
      <c r="F41" s="831"/>
      <c r="G41" s="838" t="s">
        <v>313</v>
      </c>
      <c r="H41" s="839"/>
      <c r="I41" s="839"/>
      <c r="J41" s="839"/>
      <c r="K41" s="839"/>
      <c r="L41" s="836" t="s">
        <v>360</v>
      </c>
      <c r="M41" s="837"/>
      <c r="N41" s="824" t="s">
        <v>315</v>
      </c>
      <c r="O41" s="833" t="s">
        <v>316</v>
      </c>
      <c r="P41" s="834"/>
      <c r="Q41" s="834"/>
      <c r="R41" s="834"/>
      <c r="S41" s="834"/>
      <c r="T41" s="835"/>
      <c r="U41" s="836" t="s">
        <v>317</v>
      </c>
      <c r="V41" s="837"/>
      <c r="W41" s="824" t="s">
        <v>318</v>
      </c>
      <c r="X41" s="833" t="s">
        <v>316</v>
      </c>
      <c r="Y41" s="835"/>
      <c r="Z41" s="833" t="s">
        <v>361</v>
      </c>
      <c r="AA41" s="835"/>
      <c r="AB41" s="824" t="s">
        <v>318</v>
      </c>
      <c r="AC41" s="831"/>
      <c r="AD41" s="831"/>
      <c r="AE41" s="825"/>
      <c r="AF41" s="851"/>
    </row>
    <row r="42" spans="2:32" ht="38.25" customHeight="1" x14ac:dyDescent="0.25">
      <c r="B42" s="831"/>
      <c r="C42" s="831"/>
      <c r="D42" s="831"/>
      <c r="E42" s="831"/>
      <c r="F42" s="831"/>
      <c r="G42" s="824" t="s">
        <v>320</v>
      </c>
      <c r="H42" s="837" t="s">
        <v>321</v>
      </c>
      <c r="I42" s="824" t="s">
        <v>322</v>
      </c>
      <c r="J42" s="824" t="s">
        <v>323</v>
      </c>
      <c r="K42" s="824" t="s">
        <v>324</v>
      </c>
      <c r="L42" s="836" t="s">
        <v>325</v>
      </c>
      <c r="M42" s="824" t="s">
        <v>326</v>
      </c>
      <c r="N42" s="825"/>
      <c r="O42" s="833" t="s">
        <v>327</v>
      </c>
      <c r="P42" s="835"/>
      <c r="Q42" s="833" t="s">
        <v>328</v>
      </c>
      <c r="R42" s="835"/>
      <c r="S42" s="833" t="s">
        <v>329</v>
      </c>
      <c r="T42" s="835"/>
      <c r="U42" s="833" t="s">
        <v>329</v>
      </c>
      <c r="V42" s="835"/>
      <c r="W42" s="825"/>
      <c r="X42" s="831" t="s">
        <v>330</v>
      </c>
      <c r="Y42" s="831" t="s">
        <v>331</v>
      </c>
      <c r="Z42" s="831" t="s">
        <v>330</v>
      </c>
      <c r="AA42" s="831" t="s">
        <v>331</v>
      </c>
      <c r="AB42" s="825"/>
      <c r="AC42" s="831"/>
      <c r="AD42" s="831"/>
      <c r="AE42" s="825"/>
      <c r="AF42" s="851"/>
    </row>
    <row r="43" spans="2:32" x14ac:dyDescent="0.25">
      <c r="B43" s="831"/>
      <c r="C43" s="831" t="s">
        <v>333</v>
      </c>
      <c r="D43" s="831" t="s">
        <v>334</v>
      </c>
      <c r="E43" s="831" t="s">
        <v>335</v>
      </c>
      <c r="F43" s="831" t="s">
        <v>336</v>
      </c>
      <c r="G43" s="825"/>
      <c r="H43" s="840"/>
      <c r="I43" s="825"/>
      <c r="J43" s="825"/>
      <c r="K43" s="825"/>
      <c r="L43" s="842"/>
      <c r="M43" s="825"/>
      <c r="N43" s="825"/>
      <c r="O43" s="831" t="s">
        <v>330</v>
      </c>
      <c r="P43" s="831" t="s">
        <v>331</v>
      </c>
      <c r="Q43" s="831" t="s">
        <v>330</v>
      </c>
      <c r="R43" s="831" t="s">
        <v>331</v>
      </c>
      <c r="S43" s="831" t="s">
        <v>330</v>
      </c>
      <c r="T43" s="831" t="s">
        <v>331</v>
      </c>
      <c r="U43" s="831" t="s">
        <v>330</v>
      </c>
      <c r="V43" s="831" t="s">
        <v>331</v>
      </c>
      <c r="W43" s="825"/>
      <c r="X43" s="831"/>
      <c r="Y43" s="831"/>
      <c r="Z43" s="831"/>
      <c r="AA43" s="831"/>
      <c r="AB43" s="825"/>
      <c r="AC43" s="831"/>
      <c r="AD43" s="831"/>
      <c r="AE43" s="825"/>
      <c r="AF43" s="851"/>
    </row>
    <row r="44" spans="2:32" ht="89.25" customHeight="1" x14ac:dyDescent="0.25">
      <c r="B44" s="831"/>
      <c r="C44" s="831"/>
      <c r="D44" s="831"/>
      <c r="E44" s="831"/>
      <c r="F44" s="831"/>
      <c r="G44" s="826"/>
      <c r="H44" s="841"/>
      <c r="I44" s="826"/>
      <c r="J44" s="826"/>
      <c r="K44" s="826"/>
      <c r="L44" s="843"/>
      <c r="M44" s="826"/>
      <c r="N44" s="826"/>
      <c r="O44" s="831"/>
      <c r="P44" s="831"/>
      <c r="Q44" s="831"/>
      <c r="R44" s="831"/>
      <c r="S44" s="831"/>
      <c r="T44" s="831"/>
      <c r="U44" s="831"/>
      <c r="V44" s="831"/>
      <c r="W44" s="826"/>
      <c r="X44" s="831"/>
      <c r="Y44" s="831"/>
      <c r="Z44" s="831"/>
      <c r="AA44" s="831"/>
      <c r="AB44" s="826"/>
      <c r="AC44" s="831"/>
      <c r="AD44" s="831"/>
      <c r="AE44" s="826"/>
      <c r="AF44" s="851"/>
    </row>
    <row r="45" spans="2:32" x14ac:dyDescent="0.25">
      <c r="B45" s="182" t="s">
        <v>362</v>
      </c>
      <c r="C45" s="182" t="s">
        <v>363</v>
      </c>
      <c r="D45" s="182" t="s">
        <v>364</v>
      </c>
      <c r="E45" s="182" t="s">
        <v>365</v>
      </c>
      <c r="F45" s="182" t="s">
        <v>366</v>
      </c>
      <c r="G45" s="182" t="s">
        <v>367</v>
      </c>
      <c r="H45" s="182" t="s">
        <v>368</v>
      </c>
      <c r="I45" s="182" t="s">
        <v>369</v>
      </c>
      <c r="J45" s="182" t="s">
        <v>370</v>
      </c>
      <c r="K45" s="182" t="s">
        <v>371</v>
      </c>
      <c r="L45" s="182" t="s">
        <v>372</v>
      </c>
      <c r="M45" s="182" t="s">
        <v>373</v>
      </c>
      <c r="N45" s="182" t="s">
        <v>374</v>
      </c>
      <c r="O45" s="182" t="s">
        <v>375</v>
      </c>
      <c r="P45" s="182" t="s">
        <v>376</v>
      </c>
      <c r="Q45" s="182" t="s">
        <v>377</v>
      </c>
      <c r="R45" s="182" t="s">
        <v>378</v>
      </c>
      <c r="S45" s="182" t="s">
        <v>379</v>
      </c>
      <c r="T45" s="182" t="s">
        <v>380</v>
      </c>
      <c r="U45" s="182" t="s">
        <v>381</v>
      </c>
      <c r="V45" s="182" t="s">
        <v>382</v>
      </c>
      <c r="W45" s="182" t="s">
        <v>383</v>
      </c>
      <c r="X45" s="182" t="s">
        <v>384</v>
      </c>
      <c r="Y45" s="182" t="s">
        <v>385</v>
      </c>
      <c r="Z45" s="182" t="s">
        <v>386</v>
      </c>
      <c r="AA45" s="182" t="s">
        <v>387</v>
      </c>
      <c r="AB45" s="182" t="s">
        <v>388</v>
      </c>
      <c r="AC45" s="182" t="s">
        <v>389</v>
      </c>
      <c r="AD45" s="182" t="s">
        <v>390</v>
      </c>
      <c r="AE45" s="182" t="s">
        <v>391</v>
      </c>
      <c r="AF45" s="182" t="s">
        <v>392</v>
      </c>
    </row>
    <row r="46" spans="2:32" x14ac:dyDescent="0.25">
      <c r="B46" s="182"/>
      <c r="C46" s="195">
        <f>SUM(F25:F26)</f>
        <v>61284000</v>
      </c>
      <c r="D46" s="182"/>
      <c r="E46" s="182"/>
      <c r="F46" s="182"/>
      <c r="G46" s="182"/>
      <c r="H46" s="182"/>
      <c r="I46" s="182"/>
      <c r="J46" s="182"/>
      <c r="K46" s="182"/>
      <c r="L46" s="182"/>
      <c r="M46" s="182"/>
      <c r="N46" s="182"/>
      <c r="O46" s="182"/>
      <c r="P46" s="182"/>
      <c r="Q46" s="182"/>
      <c r="R46" s="182"/>
      <c r="S46" s="195">
        <f>SUM(V25:V26)</f>
        <v>3399428</v>
      </c>
      <c r="T46" s="195">
        <f>SUM(W25:W26)</f>
        <v>19685291</v>
      </c>
      <c r="U46" s="182"/>
      <c r="V46" s="182"/>
      <c r="W46" s="195">
        <f>SUM(Z25:Z26)</f>
        <v>1130242</v>
      </c>
      <c r="X46" s="182"/>
      <c r="Y46" s="182"/>
      <c r="Z46" s="182"/>
      <c r="AA46" s="182"/>
      <c r="AB46" s="182"/>
      <c r="AC46" s="182"/>
      <c r="AD46" s="182"/>
      <c r="AE46" s="182"/>
      <c r="AF46" s="182">
        <f>COUNT(AH25:AH26)</f>
        <v>2</v>
      </c>
    </row>
    <row r="49" spans="2:22" x14ac:dyDescent="0.25">
      <c r="B49" s="844" t="s">
        <v>393</v>
      </c>
      <c r="C49" s="844"/>
      <c r="D49" s="844"/>
      <c r="E49" s="844"/>
      <c r="F49" s="844"/>
      <c r="G49" s="844"/>
      <c r="H49" s="844"/>
      <c r="I49" s="844"/>
      <c r="J49" s="844"/>
      <c r="K49" s="844"/>
      <c r="L49" s="844"/>
      <c r="M49" s="844"/>
      <c r="N49" s="844"/>
      <c r="O49" s="844"/>
      <c r="P49" s="844"/>
      <c r="Q49" s="844"/>
      <c r="R49" s="844"/>
      <c r="S49" s="844"/>
      <c r="T49" s="844"/>
      <c r="U49" s="844"/>
      <c r="V49" s="844"/>
    </row>
    <row r="51" spans="2:22" x14ac:dyDescent="0.25">
      <c r="B51" s="845" t="s">
        <v>288</v>
      </c>
      <c r="C51" s="846"/>
      <c r="D51" s="189"/>
      <c r="F51" s="847" t="s">
        <v>394</v>
      </c>
      <c r="G51" s="847"/>
      <c r="H51" s="847"/>
      <c r="I51" s="847"/>
      <c r="J51" s="189"/>
      <c r="K51" s="189"/>
      <c r="L51" s="189"/>
      <c r="M51" s="189"/>
      <c r="N51" s="189"/>
    </row>
    <row r="52" spans="2:22" x14ac:dyDescent="0.25">
      <c r="B52" s="190"/>
      <c r="C52" s="191"/>
      <c r="D52" s="192"/>
      <c r="F52" s="190"/>
      <c r="G52" s="193"/>
      <c r="H52" s="193"/>
      <c r="I52" s="191"/>
      <c r="J52" s="192"/>
      <c r="K52" s="192"/>
      <c r="L52" s="192"/>
      <c r="M52" s="192"/>
      <c r="N52" s="192"/>
    </row>
  </sheetData>
  <mergeCells count="108">
    <mergeCell ref="Z42:Z44"/>
    <mergeCell ref="AA42:AA44"/>
    <mergeCell ref="C43:C44"/>
    <mergeCell ref="D43:D44"/>
    <mergeCell ref="E43:E44"/>
    <mergeCell ref="F43:F44"/>
    <mergeCell ref="O43:O44"/>
    <mergeCell ref="P43:P44"/>
    <mergeCell ref="Q43:Q44"/>
    <mergeCell ref="R43:R44"/>
    <mergeCell ref="O42:P42"/>
    <mergeCell ref="Q42:R42"/>
    <mergeCell ref="S42:T42"/>
    <mergeCell ref="U42:V42"/>
    <mergeCell ref="X42:X44"/>
    <mergeCell ref="Y42:Y44"/>
    <mergeCell ref="S43:S44"/>
    <mergeCell ref="T43:T44"/>
    <mergeCell ref="U43:U44"/>
    <mergeCell ref="V43:V44"/>
    <mergeCell ref="H42:H44"/>
    <mergeCell ref="I42:I44"/>
    <mergeCell ref="J42:J44"/>
    <mergeCell ref="K42:K44"/>
    <mergeCell ref="L42:L44"/>
    <mergeCell ref="M42:M44"/>
    <mergeCell ref="B49:V49"/>
    <mergeCell ref="B51:C51"/>
    <mergeCell ref="F51:I51"/>
    <mergeCell ref="B31:B35"/>
    <mergeCell ref="C31:C35"/>
    <mergeCell ref="B38:AF38"/>
    <mergeCell ref="B39:B44"/>
    <mergeCell ref="C39:N39"/>
    <mergeCell ref="O39:AC39"/>
    <mergeCell ref="AD39:AD44"/>
    <mergeCell ref="AE39:AE44"/>
    <mergeCell ref="AF39:AF44"/>
    <mergeCell ref="C40:F42"/>
    <mergeCell ref="G40:K40"/>
    <mergeCell ref="O40:W40"/>
    <mergeCell ref="X40:AB40"/>
    <mergeCell ref="AC40:AC44"/>
    <mergeCell ref="G41:K41"/>
    <mergeCell ref="L41:M41"/>
    <mergeCell ref="N41:N44"/>
    <mergeCell ref="O41:T41"/>
    <mergeCell ref="U41:V41"/>
    <mergeCell ref="W41:W44"/>
    <mergeCell ref="X41:Y41"/>
    <mergeCell ref="Z41:AA41"/>
    <mergeCell ref="AB41:AB44"/>
    <mergeCell ref="G42:G44"/>
    <mergeCell ref="R21:S21"/>
    <mergeCell ref="AD21:AD23"/>
    <mergeCell ref="F22:F23"/>
    <mergeCell ref="G22:G23"/>
    <mergeCell ref="H22:H23"/>
    <mergeCell ref="I22:I23"/>
    <mergeCell ref="R22:R23"/>
    <mergeCell ref="S22:S23"/>
    <mergeCell ref="T22:T23"/>
    <mergeCell ref="U22:U23"/>
    <mergeCell ref="V22:V23"/>
    <mergeCell ref="T21:U21"/>
    <mergeCell ref="V21:W21"/>
    <mergeCell ref="X21:Y21"/>
    <mergeCell ref="AA21:AA23"/>
    <mergeCell ref="AB21:AB23"/>
    <mergeCell ref="AC21:AC23"/>
    <mergeCell ref="W22:W23"/>
    <mergeCell ref="X22:X23"/>
    <mergeCell ref="Y22:Y23"/>
    <mergeCell ref="R18:AF18"/>
    <mergeCell ref="R20:W20"/>
    <mergeCell ref="X20:Y20"/>
    <mergeCell ref="Z20:Z23"/>
    <mergeCell ref="AA20:AB20"/>
    <mergeCell ref="AG18:AG23"/>
    <mergeCell ref="AH18:AH23"/>
    <mergeCell ref="F19:I21"/>
    <mergeCell ref="J19:N19"/>
    <mergeCell ref="R19:Z19"/>
    <mergeCell ref="AA19:AE19"/>
    <mergeCell ref="AF19:AF23"/>
    <mergeCell ref="J20:N20"/>
    <mergeCell ref="O20:P20"/>
    <mergeCell ref="Q20:Q23"/>
    <mergeCell ref="AC20:AD20"/>
    <mergeCell ref="AE20:AE23"/>
    <mergeCell ref="J21:J23"/>
    <mergeCell ref="K21:K23"/>
    <mergeCell ref="L21:L23"/>
    <mergeCell ref="M21:M23"/>
    <mergeCell ref="N21:N23"/>
    <mergeCell ref="O21:O23"/>
    <mergeCell ref="P21:P23"/>
    <mergeCell ref="D2:M3"/>
    <mergeCell ref="D9:F9"/>
    <mergeCell ref="B11:C11"/>
    <mergeCell ref="D11:F11"/>
    <mergeCell ref="D13:F13"/>
    <mergeCell ref="D14:F14"/>
    <mergeCell ref="B18:B23"/>
    <mergeCell ref="C18:C23"/>
    <mergeCell ref="D18:D23"/>
    <mergeCell ref="E18:E23"/>
    <mergeCell ref="F18:Q18"/>
  </mergeCells>
  <pageMargins left="0.7" right="0.7" top="0.75" bottom="0.75" header="0.3" footer="0.3"/>
  <pageSetup scale="29" orientation="portrait" r:id="rId1"/>
  <colBreaks count="1" manualBreakCount="1">
    <brk id="17" max="53"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6A97E-B02E-469F-9CD9-2F58C176EC66}">
  <dimension ref="A1:FD528"/>
  <sheetViews>
    <sheetView showGridLines="0" topLeftCell="A191" zoomScaleNormal="100" workbookViewId="0">
      <pane ySplit="5" topLeftCell="A196" activePane="bottomLeft" state="frozen"/>
      <selection activeCell="A191" sqref="A191"/>
      <selection pane="bottomLeft" activeCell="A191" sqref="A191"/>
    </sheetView>
  </sheetViews>
  <sheetFormatPr baseColWidth="10" defaultColWidth="1" defaultRowHeight="12" x14ac:dyDescent="0.2"/>
  <cols>
    <col min="1" max="1" width="1.85546875" style="34" customWidth="1"/>
    <col min="2" max="2" width="10" style="34" customWidth="1"/>
    <col min="3" max="3" width="97.140625" style="34" customWidth="1"/>
    <col min="4" max="226" width="11.42578125" style="26" customWidth="1"/>
    <col min="227" max="227" width="10" style="26" customWidth="1"/>
    <col min="228" max="228" width="69.7109375" style="26" customWidth="1"/>
    <col min="229" max="229" width="11.42578125" style="26" customWidth="1"/>
    <col min="230" max="230" width="1" style="26"/>
    <col min="231" max="231" width="1" style="26" customWidth="1"/>
    <col min="232" max="232" width="10" style="26" customWidth="1"/>
    <col min="233" max="233" width="97.140625" style="26" customWidth="1"/>
    <col min="234" max="234" width="17" style="26" customWidth="1"/>
    <col min="235" max="482" width="11.42578125" style="26" customWidth="1"/>
    <col min="483" max="483" width="10" style="26" customWidth="1"/>
    <col min="484" max="484" width="69.7109375" style="26" customWidth="1"/>
    <col min="485" max="485" width="11.42578125" style="26" customWidth="1"/>
    <col min="486" max="486" width="1" style="26"/>
    <col min="487" max="487" width="1" style="26" customWidth="1"/>
    <col min="488" max="488" width="10" style="26" customWidth="1"/>
    <col min="489" max="489" width="97.140625" style="26" customWidth="1"/>
    <col min="490" max="490" width="17" style="26" customWidth="1"/>
    <col min="491" max="738" width="11.42578125" style="26" customWidth="1"/>
    <col min="739" max="739" width="10" style="26" customWidth="1"/>
    <col min="740" max="740" width="69.7109375" style="26" customWidth="1"/>
    <col min="741" max="741" width="11.42578125" style="26" customWidth="1"/>
    <col min="742" max="742" width="1" style="26"/>
    <col min="743" max="743" width="1" style="26" customWidth="1"/>
    <col min="744" max="744" width="10" style="26" customWidth="1"/>
    <col min="745" max="745" width="97.140625" style="26" customWidth="1"/>
    <col min="746" max="746" width="17" style="26" customWidth="1"/>
    <col min="747" max="994" width="11.42578125" style="26" customWidth="1"/>
    <col min="995" max="995" width="10" style="26" customWidth="1"/>
    <col min="996" max="996" width="69.7109375" style="26" customWidth="1"/>
    <col min="997" max="997" width="11.42578125" style="26" customWidth="1"/>
    <col min="998" max="998" width="1" style="26"/>
    <col min="999" max="999" width="1" style="26" customWidth="1"/>
    <col min="1000" max="1000" width="10" style="26" customWidth="1"/>
    <col min="1001" max="1001" width="97.140625" style="26" customWidth="1"/>
    <col min="1002" max="1002" width="17" style="26" customWidth="1"/>
    <col min="1003" max="1250" width="11.42578125" style="26" customWidth="1"/>
    <col min="1251" max="1251" width="10" style="26" customWidth="1"/>
    <col min="1252" max="1252" width="69.7109375" style="26" customWidth="1"/>
    <col min="1253" max="1253" width="11.42578125" style="26" customWidth="1"/>
    <col min="1254" max="1254" width="1" style="26"/>
    <col min="1255" max="1255" width="1" style="26" customWidth="1"/>
    <col min="1256" max="1256" width="10" style="26" customWidth="1"/>
    <col min="1257" max="1257" width="97.140625" style="26" customWidth="1"/>
    <col min="1258" max="1258" width="17" style="26" customWidth="1"/>
    <col min="1259" max="1506" width="11.42578125" style="26" customWidth="1"/>
    <col min="1507" max="1507" width="10" style="26" customWidth="1"/>
    <col min="1508" max="1508" width="69.7109375" style="26" customWidth="1"/>
    <col min="1509" max="1509" width="11.42578125" style="26" customWidth="1"/>
    <col min="1510" max="1510" width="1" style="26"/>
    <col min="1511" max="1511" width="1" style="26" customWidth="1"/>
    <col min="1512" max="1512" width="10" style="26" customWidth="1"/>
    <col min="1513" max="1513" width="97.140625" style="26" customWidth="1"/>
    <col min="1514" max="1514" width="17" style="26" customWidth="1"/>
    <col min="1515" max="1762" width="11.42578125" style="26" customWidth="1"/>
    <col min="1763" max="1763" width="10" style="26" customWidth="1"/>
    <col min="1764" max="1764" width="69.7109375" style="26" customWidth="1"/>
    <col min="1765" max="1765" width="11.42578125" style="26" customWidth="1"/>
    <col min="1766" max="1766" width="1" style="26"/>
    <col min="1767" max="1767" width="1" style="26" customWidth="1"/>
    <col min="1768" max="1768" width="10" style="26" customWidth="1"/>
    <col min="1769" max="1769" width="97.140625" style="26" customWidth="1"/>
    <col min="1770" max="1770" width="17" style="26" customWidth="1"/>
    <col min="1771" max="2018" width="11.42578125" style="26" customWidth="1"/>
    <col min="2019" max="2019" width="10" style="26" customWidth="1"/>
    <col min="2020" max="2020" width="69.7109375" style="26" customWidth="1"/>
    <col min="2021" max="2021" width="11.42578125" style="26" customWidth="1"/>
    <col min="2022" max="2022" width="1" style="26"/>
    <col min="2023" max="2023" width="1" style="26" customWidth="1"/>
    <col min="2024" max="2024" width="10" style="26" customWidth="1"/>
    <col min="2025" max="2025" width="97.140625" style="26" customWidth="1"/>
    <col min="2026" max="2026" width="17" style="26" customWidth="1"/>
    <col min="2027" max="2274" width="11.42578125" style="26" customWidth="1"/>
    <col min="2275" max="2275" width="10" style="26" customWidth="1"/>
    <col min="2276" max="2276" width="69.7109375" style="26" customWidth="1"/>
    <col min="2277" max="2277" width="11.42578125" style="26" customWidth="1"/>
    <col min="2278" max="2278" width="1" style="26"/>
    <col min="2279" max="2279" width="1" style="26" customWidth="1"/>
    <col min="2280" max="2280" width="10" style="26" customWidth="1"/>
    <col min="2281" max="2281" width="97.140625" style="26" customWidth="1"/>
    <col min="2282" max="2282" width="17" style="26" customWidth="1"/>
    <col min="2283" max="2530" width="11.42578125" style="26" customWidth="1"/>
    <col min="2531" max="2531" width="10" style="26" customWidth="1"/>
    <col min="2532" max="2532" width="69.7109375" style="26" customWidth="1"/>
    <col min="2533" max="2533" width="11.42578125" style="26" customWidth="1"/>
    <col min="2534" max="2534" width="1" style="26"/>
    <col min="2535" max="2535" width="1" style="26" customWidth="1"/>
    <col min="2536" max="2536" width="10" style="26" customWidth="1"/>
    <col min="2537" max="2537" width="97.140625" style="26" customWidth="1"/>
    <col min="2538" max="2538" width="17" style="26" customWidth="1"/>
    <col min="2539" max="2786" width="11.42578125" style="26" customWidth="1"/>
    <col min="2787" max="2787" width="10" style="26" customWidth="1"/>
    <col min="2788" max="2788" width="69.7109375" style="26" customWidth="1"/>
    <col min="2789" max="2789" width="11.42578125" style="26" customWidth="1"/>
    <col min="2790" max="2790" width="1" style="26"/>
    <col min="2791" max="2791" width="1" style="26" customWidth="1"/>
    <col min="2792" max="2792" width="10" style="26" customWidth="1"/>
    <col min="2793" max="2793" width="97.140625" style="26" customWidth="1"/>
    <col min="2794" max="2794" width="17" style="26" customWidth="1"/>
    <col min="2795" max="3042" width="11.42578125" style="26" customWidth="1"/>
    <col min="3043" max="3043" width="10" style="26" customWidth="1"/>
    <col min="3044" max="3044" width="69.7109375" style="26" customWidth="1"/>
    <col min="3045" max="3045" width="11.42578125" style="26" customWidth="1"/>
    <col min="3046" max="3046" width="1" style="26"/>
    <col min="3047" max="3047" width="1" style="26" customWidth="1"/>
    <col min="3048" max="3048" width="10" style="26" customWidth="1"/>
    <col min="3049" max="3049" width="97.140625" style="26" customWidth="1"/>
    <col min="3050" max="3050" width="17" style="26" customWidth="1"/>
    <col min="3051" max="3298" width="11.42578125" style="26" customWidth="1"/>
    <col min="3299" max="3299" width="10" style="26" customWidth="1"/>
    <col min="3300" max="3300" width="69.7109375" style="26" customWidth="1"/>
    <col min="3301" max="3301" width="11.42578125" style="26" customWidth="1"/>
    <col min="3302" max="3302" width="1" style="26"/>
    <col min="3303" max="3303" width="1" style="26" customWidth="1"/>
    <col min="3304" max="3304" width="10" style="26" customWidth="1"/>
    <col min="3305" max="3305" width="97.140625" style="26" customWidth="1"/>
    <col min="3306" max="3306" width="17" style="26" customWidth="1"/>
    <col min="3307" max="3554" width="11.42578125" style="26" customWidth="1"/>
    <col min="3555" max="3555" width="10" style="26" customWidth="1"/>
    <col min="3556" max="3556" width="69.7109375" style="26" customWidth="1"/>
    <col min="3557" max="3557" width="11.42578125" style="26" customWidth="1"/>
    <col min="3558" max="3558" width="1" style="26"/>
    <col min="3559" max="3559" width="1" style="26" customWidth="1"/>
    <col min="3560" max="3560" width="10" style="26" customWidth="1"/>
    <col min="3561" max="3561" width="97.140625" style="26" customWidth="1"/>
    <col min="3562" max="3562" width="17" style="26" customWidth="1"/>
    <col min="3563" max="3810" width="11.42578125" style="26" customWidth="1"/>
    <col min="3811" max="3811" width="10" style="26" customWidth="1"/>
    <col min="3812" max="3812" width="69.7109375" style="26" customWidth="1"/>
    <col min="3813" max="3813" width="11.42578125" style="26" customWidth="1"/>
    <col min="3814" max="3814" width="1" style="26"/>
    <col min="3815" max="3815" width="1" style="26" customWidth="1"/>
    <col min="3816" max="3816" width="10" style="26" customWidth="1"/>
    <col min="3817" max="3817" width="97.140625" style="26" customWidth="1"/>
    <col min="3818" max="3818" width="17" style="26" customWidth="1"/>
    <col min="3819" max="4066" width="11.42578125" style="26" customWidth="1"/>
    <col min="4067" max="4067" width="10" style="26" customWidth="1"/>
    <col min="4068" max="4068" width="69.7109375" style="26" customWidth="1"/>
    <col min="4069" max="4069" width="11.42578125" style="26" customWidth="1"/>
    <col min="4070" max="4070" width="1" style="26"/>
    <col min="4071" max="4071" width="1" style="26" customWidth="1"/>
    <col min="4072" max="4072" width="10" style="26" customWidth="1"/>
    <col min="4073" max="4073" width="97.140625" style="26" customWidth="1"/>
    <col min="4074" max="4074" width="17" style="26" customWidth="1"/>
    <col min="4075" max="4322" width="11.42578125" style="26" customWidth="1"/>
    <col min="4323" max="4323" width="10" style="26" customWidth="1"/>
    <col min="4324" max="4324" width="69.7109375" style="26" customWidth="1"/>
    <col min="4325" max="4325" width="11.42578125" style="26" customWidth="1"/>
    <col min="4326" max="4326" width="1" style="26"/>
    <col min="4327" max="4327" width="1" style="26" customWidth="1"/>
    <col min="4328" max="4328" width="10" style="26" customWidth="1"/>
    <col min="4329" max="4329" width="97.140625" style="26" customWidth="1"/>
    <col min="4330" max="4330" width="17" style="26" customWidth="1"/>
    <col min="4331" max="4578" width="11.42578125" style="26" customWidth="1"/>
    <col min="4579" max="4579" width="10" style="26" customWidth="1"/>
    <col min="4580" max="4580" width="69.7109375" style="26" customWidth="1"/>
    <col min="4581" max="4581" width="11.42578125" style="26" customWidth="1"/>
    <col min="4582" max="4582" width="1" style="26"/>
    <col min="4583" max="4583" width="1" style="26" customWidth="1"/>
    <col min="4584" max="4584" width="10" style="26" customWidth="1"/>
    <col min="4585" max="4585" width="97.140625" style="26" customWidth="1"/>
    <col min="4586" max="4586" width="17" style="26" customWidth="1"/>
    <col min="4587" max="4834" width="11.42578125" style="26" customWidth="1"/>
    <col min="4835" max="4835" width="10" style="26" customWidth="1"/>
    <col min="4836" max="4836" width="69.7109375" style="26" customWidth="1"/>
    <col min="4837" max="4837" width="11.42578125" style="26" customWidth="1"/>
    <col min="4838" max="4838" width="1" style="26"/>
    <col min="4839" max="4839" width="1" style="26" customWidth="1"/>
    <col min="4840" max="4840" width="10" style="26" customWidth="1"/>
    <col min="4841" max="4841" width="97.140625" style="26" customWidth="1"/>
    <col min="4842" max="4842" width="17" style="26" customWidth="1"/>
    <col min="4843" max="5090" width="11.42578125" style="26" customWidth="1"/>
    <col min="5091" max="5091" width="10" style="26" customWidth="1"/>
    <col min="5092" max="5092" width="69.7109375" style="26" customWidth="1"/>
    <col min="5093" max="5093" width="11.42578125" style="26" customWidth="1"/>
    <col min="5094" max="5094" width="1" style="26"/>
    <col min="5095" max="5095" width="1" style="26" customWidth="1"/>
    <col min="5096" max="5096" width="10" style="26" customWidth="1"/>
    <col min="5097" max="5097" width="97.140625" style="26" customWidth="1"/>
    <col min="5098" max="5098" width="17" style="26" customWidth="1"/>
    <col min="5099" max="5346" width="11.42578125" style="26" customWidth="1"/>
    <col min="5347" max="5347" width="10" style="26" customWidth="1"/>
    <col min="5348" max="5348" width="69.7109375" style="26" customWidth="1"/>
    <col min="5349" max="5349" width="11.42578125" style="26" customWidth="1"/>
    <col min="5350" max="5350" width="1" style="26"/>
    <col min="5351" max="5351" width="1" style="26" customWidth="1"/>
    <col min="5352" max="5352" width="10" style="26" customWidth="1"/>
    <col min="5353" max="5353" width="97.140625" style="26" customWidth="1"/>
    <col min="5354" max="5354" width="17" style="26" customWidth="1"/>
    <col min="5355" max="5602" width="11.42578125" style="26" customWidth="1"/>
    <col min="5603" max="5603" width="10" style="26" customWidth="1"/>
    <col min="5604" max="5604" width="69.7109375" style="26" customWidth="1"/>
    <col min="5605" max="5605" width="11.42578125" style="26" customWidth="1"/>
    <col min="5606" max="5606" width="1" style="26"/>
    <col min="5607" max="5607" width="1" style="26" customWidth="1"/>
    <col min="5608" max="5608" width="10" style="26" customWidth="1"/>
    <col min="5609" max="5609" width="97.140625" style="26" customWidth="1"/>
    <col min="5610" max="5610" width="17" style="26" customWidth="1"/>
    <col min="5611" max="5858" width="11.42578125" style="26" customWidth="1"/>
    <col min="5859" max="5859" width="10" style="26" customWidth="1"/>
    <col min="5860" max="5860" width="69.7109375" style="26" customWidth="1"/>
    <col min="5861" max="5861" width="11.42578125" style="26" customWidth="1"/>
    <col min="5862" max="5862" width="1" style="26"/>
    <col min="5863" max="5863" width="1" style="26" customWidth="1"/>
    <col min="5864" max="5864" width="10" style="26" customWidth="1"/>
    <col min="5865" max="5865" width="97.140625" style="26" customWidth="1"/>
    <col min="5866" max="5866" width="17" style="26" customWidth="1"/>
    <col min="5867" max="6114" width="11.42578125" style="26" customWidth="1"/>
    <col min="6115" max="6115" width="10" style="26" customWidth="1"/>
    <col min="6116" max="6116" width="69.7109375" style="26" customWidth="1"/>
    <col min="6117" max="6117" width="11.42578125" style="26" customWidth="1"/>
    <col min="6118" max="6118" width="1" style="26"/>
    <col min="6119" max="6119" width="1" style="26" customWidth="1"/>
    <col min="6120" max="6120" width="10" style="26" customWidth="1"/>
    <col min="6121" max="6121" width="97.140625" style="26" customWidth="1"/>
    <col min="6122" max="6122" width="17" style="26" customWidth="1"/>
    <col min="6123" max="6370" width="11.42578125" style="26" customWidth="1"/>
    <col min="6371" max="6371" width="10" style="26" customWidth="1"/>
    <col min="6372" max="6372" width="69.7109375" style="26" customWidth="1"/>
    <col min="6373" max="6373" width="11.42578125" style="26" customWidth="1"/>
    <col min="6374" max="6374" width="1" style="26"/>
    <col min="6375" max="6375" width="1" style="26" customWidth="1"/>
    <col min="6376" max="6376" width="10" style="26" customWidth="1"/>
    <col min="6377" max="6377" width="97.140625" style="26" customWidth="1"/>
    <col min="6378" max="6378" width="17" style="26" customWidth="1"/>
    <col min="6379" max="6626" width="11.42578125" style="26" customWidth="1"/>
    <col min="6627" max="6627" width="10" style="26" customWidth="1"/>
    <col min="6628" max="6628" width="69.7109375" style="26" customWidth="1"/>
    <col min="6629" max="6629" width="11.42578125" style="26" customWidth="1"/>
    <col min="6630" max="6630" width="1" style="26"/>
    <col min="6631" max="6631" width="1" style="26" customWidth="1"/>
    <col min="6632" max="6632" width="10" style="26" customWidth="1"/>
    <col min="6633" max="6633" width="97.140625" style="26" customWidth="1"/>
    <col min="6634" max="6634" width="17" style="26" customWidth="1"/>
    <col min="6635" max="6882" width="11.42578125" style="26" customWidth="1"/>
    <col min="6883" max="6883" width="10" style="26" customWidth="1"/>
    <col min="6884" max="6884" width="69.7109375" style="26" customWidth="1"/>
    <col min="6885" max="6885" width="11.42578125" style="26" customWidth="1"/>
    <col min="6886" max="6886" width="1" style="26"/>
    <col min="6887" max="6887" width="1" style="26" customWidth="1"/>
    <col min="6888" max="6888" width="10" style="26" customWidth="1"/>
    <col min="6889" max="6889" width="97.140625" style="26" customWidth="1"/>
    <col min="6890" max="6890" width="17" style="26" customWidth="1"/>
    <col min="6891" max="7138" width="11.42578125" style="26" customWidth="1"/>
    <col min="7139" max="7139" width="10" style="26" customWidth="1"/>
    <col min="7140" max="7140" width="69.7109375" style="26" customWidth="1"/>
    <col min="7141" max="7141" width="11.42578125" style="26" customWidth="1"/>
    <col min="7142" max="7142" width="1" style="26"/>
    <col min="7143" max="7143" width="1" style="26" customWidth="1"/>
    <col min="7144" max="7144" width="10" style="26" customWidth="1"/>
    <col min="7145" max="7145" width="97.140625" style="26" customWidth="1"/>
    <col min="7146" max="7146" width="17" style="26" customWidth="1"/>
    <col min="7147" max="7394" width="11.42578125" style="26" customWidth="1"/>
    <col min="7395" max="7395" width="10" style="26" customWidth="1"/>
    <col min="7396" max="7396" width="69.7109375" style="26" customWidth="1"/>
    <col min="7397" max="7397" width="11.42578125" style="26" customWidth="1"/>
    <col min="7398" max="7398" width="1" style="26"/>
    <col min="7399" max="7399" width="1" style="26" customWidth="1"/>
    <col min="7400" max="7400" width="10" style="26" customWidth="1"/>
    <col min="7401" max="7401" width="97.140625" style="26" customWidth="1"/>
    <col min="7402" max="7402" width="17" style="26" customWidth="1"/>
    <col min="7403" max="7650" width="11.42578125" style="26" customWidth="1"/>
    <col min="7651" max="7651" width="10" style="26" customWidth="1"/>
    <col min="7652" max="7652" width="69.7109375" style="26" customWidth="1"/>
    <col min="7653" max="7653" width="11.42578125" style="26" customWidth="1"/>
    <col min="7654" max="7654" width="1" style="26"/>
    <col min="7655" max="7655" width="1" style="26" customWidth="1"/>
    <col min="7656" max="7656" width="10" style="26" customWidth="1"/>
    <col min="7657" max="7657" width="97.140625" style="26" customWidth="1"/>
    <col min="7658" max="7658" width="17" style="26" customWidth="1"/>
    <col min="7659" max="7906" width="11.42578125" style="26" customWidth="1"/>
    <col min="7907" max="7907" width="10" style="26" customWidth="1"/>
    <col min="7908" max="7908" width="69.7109375" style="26" customWidth="1"/>
    <col min="7909" max="7909" width="11.42578125" style="26" customWidth="1"/>
    <col min="7910" max="7910" width="1" style="26"/>
    <col min="7911" max="7911" width="1" style="26" customWidth="1"/>
    <col min="7912" max="7912" width="10" style="26" customWidth="1"/>
    <col min="7913" max="7913" width="97.140625" style="26" customWidth="1"/>
    <col min="7914" max="7914" width="17" style="26" customWidth="1"/>
    <col min="7915" max="8162" width="11.42578125" style="26" customWidth="1"/>
    <col min="8163" max="8163" width="10" style="26" customWidth="1"/>
    <col min="8164" max="8164" width="69.7109375" style="26" customWidth="1"/>
    <col min="8165" max="8165" width="11.42578125" style="26" customWidth="1"/>
    <col min="8166" max="8166" width="1" style="26"/>
    <col min="8167" max="8167" width="1" style="26" customWidth="1"/>
    <col min="8168" max="8168" width="10" style="26" customWidth="1"/>
    <col min="8169" max="8169" width="97.140625" style="26" customWidth="1"/>
    <col min="8170" max="8170" width="17" style="26" customWidth="1"/>
    <col min="8171" max="8418" width="11.42578125" style="26" customWidth="1"/>
    <col min="8419" max="8419" width="10" style="26" customWidth="1"/>
    <col min="8420" max="8420" width="69.7109375" style="26" customWidth="1"/>
    <col min="8421" max="8421" width="11.42578125" style="26" customWidth="1"/>
    <col min="8422" max="8422" width="1" style="26"/>
    <col min="8423" max="8423" width="1" style="26" customWidth="1"/>
    <col min="8424" max="8424" width="10" style="26" customWidth="1"/>
    <col min="8425" max="8425" width="97.140625" style="26" customWidth="1"/>
    <col min="8426" max="8426" width="17" style="26" customWidth="1"/>
    <col min="8427" max="8674" width="11.42578125" style="26" customWidth="1"/>
    <col min="8675" max="8675" width="10" style="26" customWidth="1"/>
    <col min="8676" max="8676" width="69.7109375" style="26" customWidth="1"/>
    <col min="8677" max="8677" width="11.42578125" style="26" customWidth="1"/>
    <col min="8678" max="8678" width="1" style="26"/>
    <col min="8679" max="8679" width="1" style="26" customWidth="1"/>
    <col min="8680" max="8680" width="10" style="26" customWidth="1"/>
    <col min="8681" max="8681" width="97.140625" style="26" customWidth="1"/>
    <col min="8682" max="8682" width="17" style="26" customWidth="1"/>
    <col min="8683" max="8930" width="11.42578125" style="26" customWidth="1"/>
    <col min="8931" max="8931" width="10" style="26" customWidth="1"/>
    <col min="8932" max="8932" width="69.7109375" style="26" customWidth="1"/>
    <col min="8933" max="8933" width="11.42578125" style="26" customWidth="1"/>
    <col min="8934" max="8934" width="1" style="26"/>
    <col min="8935" max="8935" width="1" style="26" customWidth="1"/>
    <col min="8936" max="8936" width="10" style="26" customWidth="1"/>
    <col min="8937" max="8937" width="97.140625" style="26" customWidth="1"/>
    <col min="8938" max="8938" width="17" style="26" customWidth="1"/>
    <col min="8939" max="9186" width="11.42578125" style="26" customWidth="1"/>
    <col min="9187" max="9187" width="10" style="26" customWidth="1"/>
    <col min="9188" max="9188" width="69.7109375" style="26" customWidth="1"/>
    <col min="9189" max="9189" width="11.42578125" style="26" customWidth="1"/>
    <col min="9190" max="9190" width="1" style="26"/>
    <col min="9191" max="9191" width="1" style="26" customWidth="1"/>
    <col min="9192" max="9192" width="10" style="26" customWidth="1"/>
    <col min="9193" max="9193" width="97.140625" style="26" customWidth="1"/>
    <col min="9194" max="9194" width="17" style="26" customWidth="1"/>
    <col min="9195" max="9442" width="11.42578125" style="26" customWidth="1"/>
    <col min="9443" max="9443" width="10" style="26" customWidth="1"/>
    <col min="9444" max="9444" width="69.7109375" style="26" customWidth="1"/>
    <col min="9445" max="9445" width="11.42578125" style="26" customWidth="1"/>
    <col min="9446" max="9446" width="1" style="26"/>
    <col min="9447" max="9447" width="1" style="26" customWidth="1"/>
    <col min="9448" max="9448" width="10" style="26" customWidth="1"/>
    <col min="9449" max="9449" width="97.140625" style="26" customWidth="1"/>
    <col min="9450" max="9450" width="17" style="26" customWidth="1"/>
    <col min="9451" max="9698" width="11.42578125" style="26" customWidth="1"/>
    <col min="9699" max="9699" width="10" style="26" customWidth="1"/>
    <col min="9700" max="9700" width="69.7109375" style="26" customWidth="1"/>
    <col min="9701" max="9701" width="11.42578125" style="26" customWidth="1"/>
    <col min="9702" max="9702" width="1" style="26"/>
    <col min="9703" max="9703" width="1" style="26" customWidth="1"/>
    <col min="9704" max="9704" width="10" style="26" customWidth="1"/>
    <col min="9705" max="9705" width="97.140625" style="26" customWidth="1"/>
    <col min="9706" max="9706" width="17" style="26" customWidth="1"/>
    <col min="9707" max="9954" width="11.42578125" style="26" customWidth="1"/>
    <col min="9955" max="9955" width="10" style="26" customWidth="1"/>
    <col min="9956" max="9956" width="69.7109375" style="26" customWidth="1"/>
    <col min="9957" max="9957" width="11.42578125" style="26" customWidth="1"/>
    <col min="9958" max="9958" width="1" style="26"/>
    <col min="9959" max="9959" width="1" style="26" customWidth="1"/>
    <col min="9960" max="9960" width="10" style="26" customWidth="1"/>
    <col min="9961" max="9961" width="97.140625" style="26" customWidth="1"/>
    <col min="9962" max="9962" width="17" style="26" customWidth="1"/>
    <col min="9963" max="10210" width="11.42578125" style="26" customWidth="1"/>
    <col min="10211" max="10211" width="10" style="26" customWidth="1"/>
    <col min="10212" max="10212" width="69.7109375" style="26" customWidth="1"/>
    <col min="10213" max="10213" width="11.42578125" style="26" customWidth="1"/>
    <col min="10214" max="10214" width="1" style="26"/>
    <col min="10215" max="10215" width="1" style="26" customWidth="1"/>
    <col min="10216" max="10216" width="10" style="26" customWidth="1"/>
    <col min="10217" max="10217" width="97.140625" style="26" customWidth="1"/>
    <col min="10218" max="10218" width="17" style="26" customWidth="1"/>
    <col min="10219" max="10466" width="11.42578125" style="26" customWidth="1"/>
    <col min="10467" max="10467" width="10" style="26" customWidth="1"/>
    <col min="10468" max="10468" width="69.7109375" style="26" customWidth="1"/>
    <col min="10469" max="10469" width="11.42578125" style="26" customWidth="1"/>
    <col min="10470" max="10470" width="1" style="26"/>
    <col min="10471" max="10471" width="1" style="26" customWidth="1"/>
    <col min="10472" max="10472" width="10" style="26" customWidth="1"/>
    <col min="10473" max="10473" width="97.140625" style="26" customWidth="1"/>
    <col min="10474" max="10474" width="17" style="26" customWidth="1"/>
    <col min="10475" max="10722" width="11.42578125" style="26" customWidth="1"/>
    <col min="10723" max="10723" width="10" style="26" customWidth="1"/>
    <col min="10724" max="10724" width="69.7109375" style="26" customWidth="1"/>
    <col min="10725" max="10725" width="11.42578125" style="26" customWidth="1"/>
    <col min="10726" max="10726" width="1" style="26"/>
    <col min="10727" max="10727" width="1" style="26" customWidth="1"/>
    <col min="10728" max="10728" width="10" style="26" customWidth="1"/>
    <col min="10729" max="10729" width="97.140625" style="26" customWidth="1"/>
    <col min="10730" max="10730" width="17" style="26" customWidth="1"/>
    <col min="10731" max="10978" width="11.42578125" style="26" customWidth="1"/>
    <col min="10979" max="10979" width="10" style="26" customWidth="1"/>
    <col min="10980" max="10980" width="69.7109375" style="26" customWidth="1"/>
    <col min="10981" max="10981" width="11.42578125" style="26" customWidth="1"/>
    <col min="10982" max="10982" width="1" style="26"/>
    <col min="10983" max="10983" width="1" style="26" customWidth="1"/>
    <col min="10984" max="10984" width="10" style="26" customWidth="1"/>
    <col min="10985" max="10985" width="97.140625" style="26" customWidth="1"/>
    <col min="10986" max="10986" width="17" style="26" customWidth="1"/>
    <col min="10987" max="11234" width="11.42578125" style="26" customWidth="1"/>
    <col min="11235" max="11235" width="10" style="26" customWidth="1"/>
    <col min="11236" max="11236" width="69.7109375" style="26" customWidth="1"/>
    <col min="11237" max="11237" width="11.42578125" style="26" customWidth="1"/>
    <col min="11238" max="11238" width="1" style="26"/>
    <col min="11239" max="11239" width="1" style="26" customWidth="1"/>
    <col min="11240" max="11240" width="10" style="26" customWidth="1"/>
    <col min="11241" max="11241" width="97.140625" style="26" customWidth="1"/>
    <col min="11242" max="11242" width="17" style="26" customWidth="1"/>
    <col min="11243" max="11490" width="11.42578125" style="26" customWidth="1"/>
    <col min="11491" max="11491" width="10" style="26" customWidth="1"/>
    <col min="11492" max="11492" width="69.7109375" style="26" customWidth="1"/>
    <col min="11493" max="11493" width="11.42578125" style="26" customWidth="1"/>
    <col min="11494" max="11494" width="1" style="26"/>
    <col min="11495" max="11495" width="1" style="26" customWidth="1"/>
    <col min="11496" max="11496" width="10" style="26" customWidth="1"/>
    <col min="11497" max="11497" width="97.140625" style="26" customWidth="1"/>
    <col min="11498" max="11498" width="17" style="26" customWidth="1"/>
    <col min="11499" max="11746" width="11.42578125" style="26" customWidth="1"/>
    <col min="11747" max="11747" width="10" style="26" customWidth="1"/>
    <col min="11748" max="11748" width="69.7109375" style="26" customWidth="1"/>
    <col min="11749" max="11749" width="11.42578125" style="26" customWidth="1"/>
    <col min="11750" max="11750" width="1" style="26"/>
    <col min="11751" max="11751" width="1" style="26" customWidth="1"/>
    <col min="11752" max="11752" width="10" style="26" customWidth="1"/>
    <col min="11753" max="11753" width="97.140625" style="26" customWidth="1"/>
    <col min="11754" max="11754" width="17" style="26" customWidth="1"/>
    <col min="11755" max="12002" width="11.42578125" style="26" customWidth="1"/>
    <col min="12003" max="12003" width="10" style="26" customWidth="1"/>
    <col min="12004" max="12004" width="69.7109375" style="26" customWidth="1"/>
    <col min="12005" max="12005" width="11.42578125" style="26" customWidth="1"/>
    <col min="12006" max="12006" width="1" style="26"/>
    <col min="12007" max="12007" width="1" style="26" customWidth="1"/>
    <col min="12008" max="12008" width="10" style="26" customWidth="1"/>
    <col min="12009" max="12009" width="97.140625" style="26" customWidth="1"/>
    <col min="12010" max="12010" width="17" style="26" customWidth="1"/>
    <col min="12011" max="12258" width="11.42578125" style="26" customWidth="1"/>
    <col min="12259" max="12259" width="10" style="26" customWidth="1"/>
    <col min="12260" max="12260" width="69.7109375" style="26" customWidth="1"/>
    <col min="12261" max="12261" width="11.42578125" style="26" customWidth="1"/>
    <col min="12262" max="12262" width="1" style="26"/>
    <col min="12263" max="12263" width="1" style="26" customWidth="1"/>
    <col min="12264" max="12264" width="10" style="26" customWidth="1"/>
    <col min="12265" max="12265" width="97.140625" style="26" customWidth="1"/>
    <col min="12266" max="12266" width="17" style="26" customWidth="1"/>
    <col min="12267" max="12514" width="11.42578125" style="26" customWidth="1"/>
    <col min="12515" max="12515" width="10" style="26" customWidth="1"/>
    <col min="12516" max="12516" width="69.7109375" style="26" customWidth="1"/>
    <col min="12517" max="12517" width="11.42578125" style="26" customWidth="1"/>
    <col min="12518" max="12518" width="1" style="26"/>
    <col min="12519" max="12519" width="1" style="26" customWidth="1"/>
    <col min="12520" max="12520" width="10" style="26" customWidth="1"/>
    <col min="12521" max="12521" width="97.140625" style="26" customWidth="1"/>
    <col min="12522" max="12522" width="17" style="26" customWidth="1"/>
    <col min="12523" max="12770" width="11.42578125" style="26" customWidth="1"/>
    <col min="12771" max="12771" width="10" style="26" customWidth="1"/>
    <col min="12772" max="12772" width="69.7109375" style="26" customWidth="1"/>
    <col min="12773" max="12773" width="11.42578125" style="26" customWidth="1"/>
    <col min="12774" max="12774" width="1" style="26"/>
    <col min="12775" max="12775" width="1" style="26" customWidth="1"/>
    <col min="12776" max="12776" width="10" style="26" customWidth="1"/>
    <col min="12777" max="12777" width="97.140625" style="26" customWidth="1"/>
    <col min="12778" max="12778" width="17" style="26" customWidth="1"/>
    <col min="12779" max="13026" width="11.42578125" style="26" customWidth="1"/>
    <col min="13027" max="13027" width="10" style="26" customWidth="1"/>
    <col min="13028" max="13028" width="69.7109375" style="26" customWidth="1"/>
    <col min="13029" max="13029" width="11.42578125" style="26" customWidth="1"/>
    <col min="13030" max="13030" width="1" style="26"/>
    <col min="13031" max="13031" width="1" style="26" customWidth="1"/>
    <col min="13032" max="13032" width="10" style="26" customWidth="1"/>
    <col min="13033" max="13033" width="97.140625" style="26" customWidth="1"/>
    <col min="13034" max="13034" width="17" style="26" customWidth="1"/>
    <col min="13035" max="13282" width="11.42578125" style="26" customWidth="1"/>
    <col min="13283" max="13283" width="10" style="26" customWidth="1"/>
    <col min="13284" max="13284" width="69.7109375" style="26" customWidth="1"/>
    <col min="13285" max="13285" width="11.42578125" style="26" customWidth="1"/>
    <col min="13286" max="13286" width="1" style="26"/>
    <col min="13287" max="13287" width="1" style="26" customWidth="1"/>
    <col min="13288" max="13288" width="10" style="26" customWidth="1"/>
    <col min="13289" max="13289" width="97.140625" style="26" customWidth="1"/>
    <col min="13290" max="13290" width="17" style="26" customWidth="1"/>
    <col min="13291" max="13538" width="11.42578125" style="26" customWidth="1"/>
    <col min="13539" max="13539" width="10" style="26" customWidth="1"/>
    <col min="13540" max="13540" width="69.7109375" style="26" customWidth="1"/>
    <col min="13541" max="13541" width="11.42578125" style="26" customWidth="1"/>
    <col min="13542" max="13542" width="1" style="26"/>
    <col min="13543" max="13543" width="1" style="26" customWidth="1"/>
    <col min="13544" max="13544" width="10" style="26" customWidth="1"/>
    <col min="13545" max="13545" width="97.140625" style="26" customWidth="1"/>
    <col min="13546" max="13546" width="17" style="26" customWidth="1"/>
    <col min="13547" max="13794" width="11.42578125" style="26" customWidth="1"/>
    <col min="13795" max="13795" width="10" style="26" customWidth="1"/>
    <col min="13796" max="13796" width="69.7109375" style="26" customWidth="1"/>
    <col min="13797" max="13797" width="11.42578125" style="26" customWidth="1"/>
    <col min="13798" max="13798" width="1" style="26"/>
    <col min="13799" max="13799" width="1" style="26" customWidth="1"/>
    <col min="13800" max="13800" width="10" style="26" customWidth="1"/>
    <col min="13801" max="13801" width="97.140625" style="26" customWidth="1"/>
    <col min="13802" max="13802" width="17" style="26" customWidth="1"/>
    <col min="13803" max="14050" width="11.42578125" style="26" customWidth="1"/>
    <col min="14051" max="14051" width="10" style="26" customWidth="1"/>
    <col min="14052" max="14052" width="69.7109375" style="26" customWidth="1"/>
    <col min="14053" max="14053" width="11.42578125" style="26" customWidth="1"/>
    <col min="14054" max="14054" width="1" style="26"/>
    <col min="14055" max="14055" width="1" style="26" customWidth="1"/>
    <col min="14056" max="14056" width="10" style="26" customWidth="1"/>
    <col min="14057" max="14057" width="97.140625" style="26" customWidth="1"/>
    <col min="14058" max="14058" width="17" style="26" customWidth="1"/>
    <col min="14059" max="14306" width="11.42578125" style="26" customWidth="1"/>
    <col min="14307" max="14307" width="10" style="26" customWidth="1"/>
    <col min="14308" max="14308" width="69.7109375" style="26" customWidth="1"/>
    <col min="14309" max="14309" width="11.42578125" style="26" customWidth="1"/>
    <col min="14310" max="14310" width="1" style="26"/>
    <col min="14311" max="14311" width="1" style="26" customWidth="1"/>
    <col min="14312" max="14312" width="10" style="26" customWidth="1"/>
    <col min="14313" max="14313" width="97.140625" style="26" customWidth="1"/>
    <col min="14314" max="14314" width="17" style="26" customWidth="1"/>
    <col min="14315" max="14562" width="11.42578125" style="26" customWidth="1"/>
    <col min="14563" max="14563" width="10" style="26" customWidth="1"/>
    <col min="14564" max="14564" width="69.7109375" style="26" customWidth="1"/>
    <col min="14565" max="14565" width="11.42578125" style="26" customWidth="1"/>
    <col min="14566" max="14566" width="1" style="26"/>
    <col min="14567" max="14567" width="1" style="26" customWidth="1"/>
    <col min="14568" max="14568" width="10" style="26" customWidth="1"/>
    <col min="14569" max="14569" width="97.140625" style="26" customWidth="1"/>
    <col min="14570" max="14570" width="17" style="26" customWidth="1"/>
    <col min="14571" max="14818" width="11.42578125" style="26" customWidth="1"/>
    <col min="14819" max="14819" width="10" style="26" customWidth="1"/>
    <col min="14820" max="14820" width="69.7109375" style="26" customWidth="1"/>
    <col min="14821" max="14821" width="11.42578125" style="26" customWidth="1"/>
    <col min="14822" max="14822" width="1" style="26"/>
    <col min="14823" max="14823" width="1" style="26" customWidth="1"/>
    <col min="14824" max="14824" width="10" style="26" customWidth="1"/>
    <col min="14825" max="14825" width="97.140625" style="26" customWidth="1"/>
    <col min="14826" max="14826" width="17" style="26" customWidth="1"/>
    <col min="14827" max="15074" width="11.42578125" style="26" customWidth="1"/>
    <col min="15075" max="15075" width="10" style="26" customWidth="1"/>
    <col min="15076" max="15076" width="69.7109375" style="26" customWidth="1"/>
    <col min="15077" max="15077" width="11.42578125" style="26" customWidth="1"/>
    <col min="15078" max="15078" width="1" style="26"/>
    <col min="15079" max="15079" width="1" style="26" customWidth="1"/>
    <col min="15080" max="15080" width="10" style="26" customWidth="1"/>
    <col min="15081" max="15081" width="97.140625" style="26" customWidth="1"/>
    <col min="15082" max="15082" width="17" style="26" customWidth="1"/>
    <col min="15083" max="15330" width="11.42578125" style="26" customWidth="1"/>
    <col min="15331" max="15331" width="10" style="26" customWidth="1"/>
    <col min="15332" max="15332" width="69.7109375" style="26" customWidth="1"/>
    <col min="15333" max="15333" width="11.42578125" style="26" customWidth="1"/>
    <col min="15334" max="15334" width="1" style="26"/>
    <col min="15335" max="15335" width="1" style="26" customWidth="1"/>
    <col min="15336" max="15336" width="10" style="26" customWidth="1"/>
    <col min="15337" max="15337" width="97.140625" style="26" customWidth="1"/>
    <col min="15338" max="15338" width="17" style="26" customWidth="1"/>
    <col min="15339" max="15586" width="11.42578125" style="26" customWidth="1"/>
    <col min="15587" max="15587" width="10" style="26" customWidth="1"/>
    <col min="15588" max="15588" width="69.7109375" style="26" customWidth="1"/>
    <col min="15589" max="15589" width="11.42578125" style="26" customWidth="1"/>
    <col min="15590" max="15590" width="1" style="26"/>
    <col min="15591" max="15591" width="1" style="26" customWidth="1"/>
    <col min="15592" max="15592" width="10" style="26" customWidth="1"/>
    <col min="15593" max="15593" width="97.140625" style="26" customWidth="1"/>
    <col min="15594" max="15594" width="17" style="26" customWidth="1"/>
    <col min="15595" max="15842" width="11.42578125" style="26" customWidth="1"/>
    <col min="15843" max="15843" width="10" style="26" customWidth="1"/>
    <col min="15844" max="15844" width="69.7109375" style="26" customWidth="1"/>
    <col min="15845" max="15845" width="11.42578125" style="26" customWidth="1"/>
    <col min="15846" max="15846" width="1" style="26"/>
    <col min="15847" max="15847" width="1" style="26" customWidth="1"/>
    <col min="15848" max="15848" width="10" style="26" customWidth="1"/>
    <col min="15849" max="15849" width="97.140625" style="26" customWidth="1"/>
    <col min="15850" max="15850" width="17" style="26" customWidth="1"/>
    <col min="15851" max="16098" width="11.42578125" style="26" customWidth="1"/>
    <col min="16099" max="16099" width="10" style="26" customWidth="1"/>
    <col min="16100" max="16100" width="69.7109375" style="26" customWidth="1"/>
    <col min="16101" max="16101" width="11.42578125" style="26" customWidth="1"/>
    <col min="16102" max="16102" width="1" style="26"/>
    <col min="16103" max="16103" width="1" style="26" customWidth="1"/>
    <col min="16104" max="16104" width="10" style="26" customWidth="1"/>
    <col min="16105" max="16105" width="97.140625" style="26" customWidth="1"/>
    <col min="16106" max="16106" width="17" style="26" customWidth="1"/>
    <col min="16107" max="16354" width="11.42578125" style="26" customWidth="1"/>
    <col min="16355" max="16355" width="10" style="26" customWidth="1"/>
    <col min="16356" max="16356" width="69.7109375" style="26" customWidth="1"/>
    <col min="16357" max="16357" width="11.42578125" style="26" customWidth="1"/>
    <col min="16358" max="16384" width="1" style="26"/>
  </cols>
  <sheetData>
    <row r="1" spans="1:160" x14ac:dyDescent="0.2">
      <c r="B1" s="133" t="s">
        <v>395</v>
      </c>
    </row>
    <row r="2" spans="1:160" ht="12.75" thickBot="1" x14ac:dyDescent="0.25"/>
    <row r="3" spans="1:160" ht="18.75" thickBot="1" x14ac:dyDescent="0.3">
      <c r="A3" s="134"/>
      <c r="B3" s="854" t="s">
        <v>396</v>
      </c>
      <c r="C3" s="855"/>
      <c r="FD3" s="135" t="s">
        <v>397</v>
      </c>
    </row>
    <row r="4" spans="1:160" ht="3.75" customHeight="1" x14ac:dyDescent="0.25">
      <c r="A4"/>
      <c r="B4" s="26"/>
      <c r="C4" s="26"/>
    </row>
    <row r="5" spans="1:160" ht="18.75" customHeight="1" x14ac:dyDescent="0.25">
      <c r="A5"/>
      <c r="B5" s="89" t="s">
        <v>398</v>
      </c>
      <c r="C5" s="136"/>
    </row>
    <row r="6" spans="1:160" ht="18.75" customHeight="1" x14ac:dyDescent="0.25">
      <c r="A6"/>
      <c r="B6" s="27" t="s">
        <v>399</v>
      </c>
      <c r="C6" s="28"/>
    </row>
    <row r="7" spans="1:160" ht="18.75" customHeight="1" x14ac:dyDescent="0.25">
      <c r="A7"/>
      <c r="B7" s="29" t="s">
        <v>400</v>
      </c>
      <c r="C7" s="30"/>
    </row>
    <row r="8" spans="1:160" ht="12" customHeight="1" thickBot="1" x14ac:dyDescent="0.3">
      <c r="A8"/>
      <c r="B8" s="25"/>
      <c r="C8" s="25"/>
      <c r="FD8" s="135" t="s">
        <v>332</v>
      </c>
    </row>
    <row r="9" spans="1:160" ht="19.5" customHeight="1" thickBot="1" x14ac:dyDescent="0.3">
      <c r="A9"/>
      <c r="B9" s="852" t="s">
        <v>401</v>
      </c>
      <c r="C9" s="853"/>
      <c r="FD9" s="135"/>
    </row>
    <row r="10" spans="1:160" ht="19.5" customHeight="1" thickBot="1" x14ac:dyDescent="0.3">
      <c r="A10"/>
      <c r="B10" s="852" t="s">
        <v>402</v>
      </c>
      <c r="C10" s="853"/>
      <c r="FD10" s="135"/>
    </row>
    <row r="11" spans="1:160" ht="24.75" customHeight="1" thickBot="1" x14ac:dyDescent="0.3">
      <c r="A11"/>
      <c r="B11" s="137" t="s">
        <v>403</v>
      </c>
      <c r="C11" s="138" t="s">
        <v>404</v>
      </c>
      <c r="FD11" s="135"/>
    </row>
    <row r="12" spans="1:160" ht="15.75" thickBot="1" x14ac:dyDescent="0.3">
      <c r="A12"/>
      <c r="B12" s="31" t="s">
        <v>405</v>
      </c>
      <c r="C12" s="138" t="s">
        <v>406</v>
      </c>
    </row>
    <row r="13" spans="1:160" ht="15" x14ac:dyDescent="0.25">
      <c r="A13"/>
      <c r="B13" s="139" t="s">
        <v>407</v>
      </c>
      <c r="C13" s="140" t="s">
        <v>408</v>
      </c>
    </row>
    <row r="14" spans="1:160" ht="15" x14ac:dyDescent="0.25">
      <c r="A14"/>
      <c r="B14" s="32" t="s">
        <v>409</v>
      </c>
      <c r="C14" s="33" t="s">
        <v>410</v>
      </c>
    </row>
    <row r="15" spans="1:160" ht="15" x14ac:dyDescent="0.25">
      <c r="A15"/>
      <c r="B15" s="32" t="s">
        <v>411</v>
      </c>
      <c r="C15" s="33" t="s">
        <v>412</v>
      </c>
    </row>
    <row r="16" spans="1:160" ht="12.75" x14ac:dyDescent="0.2">
      <c r="A16" s="25"/>
      <c r="B16" s="32" t="s">
        <v>413</v>
      </c>
      <c r="C16" s="33" t="s">
        <v>414</v>
      </c>
    </row>
    <row r="17" spans="1:3" ht="12.75" x14ac:dyDescent="0.2">
      <c r="A17" s="25"/>
      <c r="B17" s="32" t="s">
        <v>415</v>
      </c>
      <c r="C17" s="33" t="s">
        <v>416</v>
      </c>
    </row>
    <row r="18" spans="1:3" ht="12.75" x14ac:dyDescent="0.2">
      <c r="A18" s="25"/>
      <c r="B18" s="32" t="s">
        <v>417</v>
      </c>
      <c r="C18" s="33" t="s">
        <v>418</v>
      </c>
    </row>
    <row r="19" spans="1:3" s="34" customFormat="1" ht="12.75" x14ac:dyDescent="0.2">
      <c r="A19" s="25"/>
      <c r="B19" s="32" t="s">
        <v>419</v>
      </c>
      <c r="C19" s="33" t="s">
        <v>420</v>
      </c>
    </row>
    <row r="20" spans="1:3" s="34" customFormat="1" ht="12.75" x14ac:dyDescent="0.2">
      <c r="A20" s="25"/>
      <c r="B20" s="32" t="s">
        <v>421</v>
      </c>
      <c r="C20" s="33" t="s">
        <v>422</v>
      </c>
    </row>
    <row r="21" spans="1:3" s="34" customFormat="1" ht="12.75" x14ac:dyDescent="0.2">
      <c r="A21" s="25"/>
      <c r="B21" s="32" t="s">
        <v>423</v>
      </c>
      <c r="C21" s="33" t="s">
        <v>424</v>
      </c>
    </row>
    <row r="22" spans="1:3" s="34" customFormat="1" ht="12.75" x14ac:dyDescent="0.2">
      <c r="A22" s="25"/>
      <c r="B22" s="32" t="s">
        <v>425</v>
      </c>
      <c r="C22" s="33" t="s">
        <v>426</v>
      </c>
    </row>
    <row r="23" spans="1:3" s="34" customFormat="1" ht="12" customHeight="1" x14ac:dyDescent="0.2">
      <c r="A23" s="25"/>
      <c r="B23" s="32" t="s">
        <v>427</v>
      </c>
      <c r="C23" s="33" t="s">
        <v>428</v>
      </c>
    </row>
    <row r="24" spans="1:3" s="34" customFormat="1" ht="12.75" x14ac:dyDescent="0.2">
      <c r="A24" s="25"/>
      <c r="B24" s="32" t="s">
        <v>429</v>
      </c>
      <c r="C24" s="33" t="s">
        <v>430</v>
      </c>
    </row>
    <row r="25" spans="1:3" s="34" customFormat="1" ht="12.75" customHeight="1" x14ac:dyDescent="0.2">
      <c r="A25" s="25"/>
      <c r="B25" s="32" t="s">
        <v>431</v>
      </c>
      <c r="C25" s="33" t="s">
        <v>432</v>
      </c>
    </row>
    <row r="26" spans="1:3" s="34" customFormat="1" ht="12.75" x14ac:dyDescent="0.2">
      <c r="A26" s="25"/>
      <c r="B26" s="32" t="s">
        <v>433</v>
      </c>
      <c r="C26" s="33" t="s">
        <v>434</v>
      </c>
    </row>
    <row r="27" spans="1:3" s="34" customFormat="1" ht="12.75" x14ac:dyDescent="0.2">
      <c r="A27" s="25"/>
      <c r="B27" s="32" t="s">
        <v>435</v>
      </c>
      <c r="C27" s="33" t="s">
        <v>436</v>
      </c>
    </row>
    <row r="28" spans="1:3" s="34" customFormat="1" ht="12.75" x14ac:dyDescent="0.2">
      <c r="A28" s="25"/>
      <c r="B28" s="32" t="s">
        <v>437</v>
      </c>
      <c r="C28" s="33" t="s">
        <v>438</v>
      </c>
    </row>
    <row r="29" spans="1:3" s="34" customFormat="1" ht="12.75" x14ac:dyDescent="0.2">
      <c r="A29" s="25"/>
      <c r="B29" s="32" t="s">
        <v>439</v>
      </c>
      <c r="C29" s="33" t="s">
        <v>440</v>
      </c>
    </row>
    <row r="30" spans="1:3" s="34" customFormat="1" ht="12.75" x14ac:dyDescent="0.2">
      <c r="A30" s="25"/>
      <c r="B30" s="32" t="s">
        <v>441</v>
      </c>
      <c r="C30" s="33" t="s">
        <v>442</v>
      </c>
    </row>
    <row r="31" spans="1:3" s="34" customFormat="1" ht="12.75" x14ac:dyDescent="0.2">
      <c r="A31" s="25"/>
      <c r="B31" s="32" t="s">
        <v>443</v>
      </c>
      <c r="C31" s="33" t="s">
        <v>444</v>
      </c>
    </row>
    <row r="32" spans="1:3" s="34" customFormat="1" ht="12.75" x14ac:dyDescent="0.2">
      <c r="A32" s="25"/>
      <c r="B32" s="32" t="s">
        <v>445</v>
      </c>
      <c r="C32" s="33" t="s">
        <v>446</v>
      </c>
    </row>
    <row r="33" spans="1:3" s="34" customFormat="1" ht="12.75" x14ac:dyDescent="0.2">
      <c r="A33" s="25"/>
      <c r="B33" s="36" t="s">
        <v>447</v>
      </c>
      <c r="C33" s="37" t="s">
        <v>448</v>
      </c>
    </row>
    <row r="34" spans="1:3" s="34" customFormat="1" ht="12.75" x14ac:dyDescent="0.2">
      <c r="A34" s="25"/>
      <c r="B34" s="36" t="s">
        <v>449</v>
      </c>
      <c r="C34" s="37" t="s">
        <v>450</v>
      </c>
    </row>
    <row r="35" spans="1:3" s="34" customFormat="1" ht="12.75" x14ac:dyDescent="0.2">
      <c r="A35" s="25"/>
      <c r="B35" s="32" t="s">
        <v>451</v>
      </c>
      <c r="C35" s="33" t="s">
        <v>452</v>
      </c>
    </row>
    <row r="36" spans="1:3" s="34" customFormat="1" ht="12.75" x14ac:dyDescent="0.2">
      <c r="A36" s="25"/>
      <c r="B36" s="32" t="s">
        <v>453</v>
      </c>
      <c r="C36" s="33" t="s">
        <v>454</v>
      </c>
    </row>
    <row r="37" spans="1:3" s="34" customFormat="1" ht="12.75" x14ac:dyDescent="0.2">
      <c r="A37" s="25"/>
      <c r="B37" s="32" t="s">
        <v>455</v>
      </c>
      <c r="C37" s="35" t="s">
        <v>456</v>
      </c>
    </row>
    <row r="38" spans="1:3" ht="12.75" x14ac:dyDescent="0.2">
      <c r="A38" s="25"/>
      <c r="B38" s="32" t="s">
        <v>457</v>
      </c>
      <c r="C38" s="33" t="s">
        <v>458</v>
      </c>
    </row>
    <row r="39" spans="1:3" ht="12.75" x14ac:dyDescent="0.2">
      <c r="A39" s="25"/>
      <c r="B39" s="32" t="s">
        <v>459</v>
      </c>
      <c r="C39" s="33" t="s">
        <v>460</v>
      </c>
    </row>
    <row r="40" spans="1:3" ht="12.75" x14ac:dyDescent="0.2">
      <c r="A40" s="25"/>
      <c r="B40" s="32" t="s">
        <v>461</v>
      </c>
      <c r="C40" s="33" t="s">
        <v>462</v>
      </c>
    </row>
    <row r="41" spans="1:3" ht="12.75" x14ac:dyDescent="0.2">
      <c r="A41" s="25"/>
      <c r="B41" s="32" t="s">
        <v>463</v>
      </c>
      <c r="C41" s="33" t="s">
        <v>464</v>
      </c>
    </row>
    <row r="42" spans="1:3" ht="12.75" x14ac:dyDescent="0.2">
      <c r="A42" s="25"/>
      <c r="B42" s="32" t="s">
        <v>465</v>
      </c>
      <c r="C42" s="33" t="s">
        <v>466</v>
      </c>
    </row>
    <row r="43" spans="1:3" ht="12.75" x14ac:dyDescent="0.2">
      <c r="A43" s="25"/>
      <c r="B43" s="32" t="s">
        <v>467</v>
      </c>
      <c r="C43" s="33" t="s">
        <v>468</v>
      </c>
    </row>
    <row r="44" spans="1:3" ht="12.75" x14ac:dyDescent="0.2">
      <c r="A44" s="25"/>
      <c r="B44" s="32" t="s">
        <v>469</v>
      </c>
      <c r="C44" s="33" t="s">
        <v>470</v>
      </c>
    </row>
    <row r="45" spans="1:3" ht="12.75" x14ac:dyDescent="0.2">
      <c r="A45" s="25"/>
      <c r="B45" s="32" t="s">
        <v>471</v>
      </c>
      <c r="C45" s="33" t="s">
        <v>472</v>
      </c>
    </row>
    <row r="46" spans="1:3" s="34" customFormat="1" ht="12.75" x14ac:dyDescent="0.2">
      <c r="A46" s="25"/>
      <c r="B46" s="32" t="s">
        <v>473</v>
      </c>
      <c r="C46" s="33" t="s">
        <v>474</v>
      </c>
    </row>
    <row r="47" spans="1:3" s="34" customFormat="1" ht="12.75" x14ac:dyDescent="0.2">
      <c r="A47" s="25"/>
      <c r="B47" s="32" t="s">
        <v>475</v>
      </c>
      <c r="C47" s="33" t="s">
        <v>476</v>
      </c>
    </row>
    <row r="48" spans="1:3" s="34" customFormat="1" ht="12.75" x14ac:dyDescent="0.2">
      <c r="A48" s="25"/>
      <c r="B48" s="32" t="s">
        <v>477</v>
      </c>
      <c r="C48" s="33" t="s">
        <v>478</v>
      </c>
    </row>
    <row r="49" spans="1:3" s="34" customFormat="1" ht="12.75" x14ac:dyDescent="0.2">
      <c r="A49" s="25"/>
      <c r="B49" s="32" t="s">
        <v>479</v>
      </c>
      <c r="C49" s="33" t="s">
        <v>480</v>
      </c>
    </row>
    <row r="50" spans="1:3" s="34" customFormat="1" ht="12.75" x14ac:dyDescent="0.2">
      <c r="A50" s="25"/>
      <c r="B50" s="32" t="s">
        <v>481</v>
      </c>
      <c r="C50" s="33" t="s">
        <v>482</v>
      </c>
    </row>
    <row r="51" spans="1:3" s="34" customFormat="1" ht="12.75" x14ac:dyDescent="0.2">
      <c r="A51" s="25"/>
      <c r="B51" s="32" t="s">
        <v>483</v>
      </c>
      <c r="C51" s="33" t="s">
        <v>484</v>
      </c>
    </row>
    <row r="52" spans="1:3" s="34" customFormat="1" ht="12.75" x14ac:dyDescent="0.2">
      <c r="A52" s="25"/>
      <c r="B52" s="32" t="s">
        <v>485</v>
      </c>
      <c r="C52" s="33" t="s">
        <v>486</v>
      </c>
    </row>
    <row r="53" spans="1:3" s="34" customFormat="1" ht="12.75" x14ac:dyDescent="0.2">
      <c r="A53" s="25"/>
      <c r="B53" s="32" t="s">
        <v>487</v>
      </c>
      <c r="C53" s="33" t="s">
        <v>488</v>
      </c>
    </row>
    <row r="54" spans="1:3" s="34" customFormat="1" ht="12.75" x14ac:dyDescent="0.2">
      <c r="A54" s="25"/>
      <c r="B54" s="32" t="s">
        <v>489</v>
      </c>
      <c r="C54" s="33" t="s">
        <v>490</v>
      </c>
    </row>
    <row r="55" spans="1:3" s="34" customFormat="1" ht="12.75" x14ac:dyDescent="0.2">
      <c r="A55" s="25"/>
      <c r="B55" s="32" t="s">
        <v>491</v>
      </c>
      <c r="C55" s="33" t="s">
        <v>492</v>
      </c>
    </row>
    <row r="56" spans="1:3" s="34" customFormat="1" ht="12.75" x14ac:dyDescent="0.2">
      <c r="A56" s="25"/>
      <c r="B56" s="32" t="s">
        <v>493</v>
      </c>
      <c r="C56" s="35" t="s">
        <v>494</v>
      </c>
    </row>
    <row r="57" spans="1:3" s="34" customFormat="1" ht="12.75" x14ac:dyDescent="0.2">
      <c r="A57" s="25"/>
      <c r="B57" s="32" t="s">
        <v>495</v>
      </c>
      <c r="C57" s="33" t="s">
        <v>496</v>
      </c>
    </row>
    <row r="58" spans="1:3" s="34" customFormat="1" ht="12.75" x14ac:dyDescent="0.2">
      <c r="A58" s="25"/>
      <c r="B58" s="32" t="s">
        <v>497</v>
      </c>
      <c r="C58" s="33" t="s">
        <v>498</v>
      </c>
    </row>
    <row r="59" spans="1:3" s="34" customFormat="1" ht="12.75" x14ac:dyDescent="0.2">
      <c r="A59" s="25"/>
      <c r="B59" s="32" t="s">
        <v>499</v>
      </c>
      <c r="C59" s="33" t="s">
        <v>500</v>
      </c>
    </row>
    <row r="60" spans="1:3" s="34" customFormat="1" ht="12.75" x14ac:dyDescent="0.2">
      <c r="A60" s="25"/>
      <c r="B60" s="32" t="s">
        <v>501</v>
      </c>
      <c r="C60" s="33" t="s">
        <v>502</v>
      </c>
    </row>
    <row r="61" spans="1:3" s="34" customFormat="1" ht="12.75" x14ac:dyDescent="0.2">
      <c r="A61" s="25"/>
      <c r="B61" s="32" t="s">
        <v>503</v>
      </c>
      <c r="C61" s="33" t="s">
        <v>504</v>
      </c>
    </row>
    <row r="62" spans="1:3" s="34" customFormat="1" ht="12.75" x14ac:dyDescent="0.2">
      <c r="A62" s="25"/>
      <c r="B62" s="36" t="s">
        <v>505</v>
      </c>
      <c r="C62" s="37" t="s">
        <v>506</v>
      </c>
    </row>
    <row r="63" spans="1:3" s="34" customFormat="1" ht="12.75" x14ac:dyDescent="0.2">
      <c r="A63" s="25"/>
      <c r="B63" s="36" t="s">
        <v>507</v>
      </c>
      <c r="C63" s="37" t="s">
        <v>508</v>
      </c>
    </row>
    <row r="64" spans="1:3" s="34" customFormat="1" ht="12.75" x14ac:dyDescent="0.2">
      <c r="A64" s="25"/>
      <c r="B64" s="36" t="s">
        <v>509</v>
      </c>
      <c r="C64" s="37" t="s">
        <v>510</v>
      </c>
    </row>
    <row r="65" spans="1:3" s="34" customFormat="1" ht="12.75" x14ac:dyDescent="0.2">
      <c r="A65" s="25"/>
      <c r="B65" s="32" t="s">
        <v>511</v>
      </c>
      <c r="C65" s="33" t="s">
        <v>512</v>
      </c>
    </row>
    <row r="66" spans="1:3" s="34" customFormat="1" ht="12.75" x14ac:dyDescent="0.2">
      <c r="A66" s="25"/>
      <c r="B66" s="32" t="s">
        <v>513</v>
      </c>
      <c r="C66" s="33" t="s">
        <v>514</v>
      </c>
    </row>
    <row r="67" spans="1:3" s="34" customFormat="1" ht="12.75" x14ac:dyDescent="0.2">
      <c r="A67" s="25"/>
      <c r="B67" s="32" t="s">
        <v>515</v>
      </c>
      <c r="C67" s="33" t="s">
        <v>516</v>
      </c>
    </row>
    <row r="68" spans="1:3" s="34" customFormat="1" ht="12.75" x14ac:dyDescent="0.2">
      <c r="A68" s="25"/>
      <c r="B68" s="32" t="s">
        <v>517</v>
      </c>
      <c r="C68" s="33" t="s">
        <v>518</v>
      </c>
    </row>
    <row r="69" spans="1:3" s="34" customFormat="1" ht="12.75" x14ac:dyDescent="0.2">
      <c r="A69" s="25"/>
      <c r="B69" s="32" t="s">
        <v>519</v>
      </c>
      <c r="C69" s="33" t="s">
        <v>520</v>
      </c>
    </row>
    <row r="70" spans="1:3" s="34" customFormat="1" ht="12.75" x14ac:dyDescent="0.2">
      <c r="A70" s="25"/>
      <c r="B70" s="32" t="s">
        <v>521</v>
      </c>
      <c r="C70" s="33" t="s">
        <v>522</v>
      </c>
    </row>
    <row r="71" spans="1:3" s="34" customFormat="1" ht="12.75" x14ac:dyDescent="0.2">
      <c r="A71" s="25"/>
      <c r="B71" s="32" t="s">
        <v>523</v>
      </c>
      <c r="C71" s="33" t="s">
        <v>524</v>
      </c>
    </row>
    <row r="72" spans="1:3" s="34" customFormat="1" ht="12.75" x14ac:dyDescent="0.2">
      <c r="A72" s="25"/>
      <c r="B72" s="32" t="s">
        <v>525</v>
      </c>
      <c r="C72" s="33" t="s">
        <v>526</v>
      </c>
    </row>
    <row r="73" spans="1:3" s="34" customFormat="1" ht="12.75" x14ac:dyDescent="0.2">
      <c r="A73" s="25"/>
      <c r="B73" s="32" t="s">
        <v>527</v>
      </c>
      <c r="C73" s="33" t="s">
        <v>528</v>
      </c>
    </row>
    <row r="74" spans="1:3" s="34" customFormat="1" ht="12.75" x14ac:dyDescent="0.2">
      <c r="A74" s="25"/>
      <c r="B74" s="32" t="s">
        <v>529</v>
      </c>
      <c r="C74" s="33" t="s">
        <v>530</v>
      </c>
    </row>
    <row r="75" spans="1:3" s="34" customFormat="1" ht="12.75" x14ac:dyDescent="0.2">
      <c r="A75" s="25"/>
      <c r="B75" s="32" t="s">
        <v>531</v>
      </c>
      <c r="C75" s="33" t="s">
        <v>532</v>
      </c>
    </row>
    <row r="76" spans="1:3" s="34" customFormat="1" ht="12.75" x14ac:dyDescent="0.2">
      <c r="A76" s="25"/>
      <c r="B76" s="32" t="s">
        <v>533</v>
      </c>
      <c r="C76" s="33" t="s">
        <v>534</v>
      </c>
    </row>
    <row r="77" spans="1:3" s="34" customFormat="1" ht="12.75" x14ac:dyDescent="0.2">
      <c r="A77" s="25"/>
      <c r="B77" s="32" t="s">
        <v>535</v>
      </c>
      <c r="C77" s="33" t="s">
        <v>536</v>
      </c>
    </row>
    <row r="78" spans="1:3" s="34" customFormat="1" ht="16.5" customHeight="1" x14ac:dyDescent="0.2">
      <c r="A78" s="25"/>
      <c r="B78" s="32" t="s">
        <v>537</v>
      </c>
      <c r="C78" s="33" t="s">
        <v>538</v>
      </c>
    </row>
    <row r="79" spans="1:3" ht="16.5" customHeight="1" x14ac:dyDescent="0.2">
      <c r="A79" s="25"/>
      <c r="B79" s="32" t="s">
        <v>539</v>
      </c>
      <c r="C79" s="33" t="s">
        <v>540</v>
      </c>
    </row>
    <row r="80" spans="1:3" ht="16.5" customHeight="1" x14ac:dyDescent="0.2">
      <c r="A80" s="25"/>
      <c r="B80" s="32" t="s">
        <v>541</v>
      </c>
      <c r="C80" s="33" t="s">
        <v>542</v>
      </c>
    </row>
    <row r="81" spans="1:160" ht="15.75" customHeight="1" thickBot="1" x14ac:dyDescent="0.25">
      <c r="A81" s="25"/>
      <c r="B81" s="38"/>
      <c r="C81" s="39"/>
    </row>
    <row r="82" spans="1:160" ht="24.75" customHeight="1" thickBot="1" x14ac:dyDescent="0.3">
      <c r="A82" s="25"/>
      <c r="B82" s="852" t="s">
        <v>401</v>
      </c>
      <c r="C82" s="853"/>
      <c r="FD82" s="135"/>
    </row>
    <row r="83" spans="1:160" ht="15.75" customHeight="1" thickBot="1" x14ac:dyDescent="0.3">
      <c r="A83" s="25"/>
      <c r="B83" s="852" t="s">
        <v>402</v>
      </c>
      <c r="C83" s="853"/>
    </row>
    <row r="84" spans="1:160" ht="24" thickBot="1" x14ac:dyDescent="0.3">
      <c r="A84" s="25"/>
      <c r="B84" s="137" t="str">
        <f>+$B$11</f>
        <v>Código ID Partida</v>
      </c>
      <c r="C84" s="138" t="str">
        <f>+$C$11</f>
        <v>Descripción</v>
      </c>
    </row>
    <row r="85" spans="1:160" ht="15.75" thickBot="1" x14ac:dyDescent="0.3">
      <c r="A85" s="25"/>
      <c r="B85" s="31" t="s">
        <v>543</v>
      </c>
      <c r="C85" s="138" t="s">
        <v>544</v>
      </c>
    </row>
    <row r="86" spans="1:160" ht="12.75" x14ac:dyDescent="0.2">
      <c r="A86" s="25"/>
      <c r="B86" s="141" t="s">
        <v>545</v>
      </c>
      <c r="C86" s="142" t="s">
        <v>546</v>
      </c>
    </row>
    <row r="87" spans="1:160" ht="12.75" x14ac:dyDescent="0.2">
      <c r="A87" s="25"/>
      <c r="B87" s="32" t="s">
        <v>547</v>
      </c>
      <c r="C87" s="33" t="s">
        <v>548</v>
      </c>
    </row>
    <row r="88" spans="1:160" s="34" customFormat="1" ht="12.75" x14ac:dyDescent="0.2">
      <c r="A88" s="25"/>
      <c r="B88" s="32" t="s">
        <v>549</v>
      </c>
      <c r="C88" s="33" t="s">
        <v>550</v>
      </c>
    </row>
    <row r="89" spans="1:160" s="34" customFormat="1" ht="12.75" x14ac:dyDescent="0.2">
      <c r="A89" s="25"/>
      <c r="B89" s="32" t="s">
        <v>551</v>
      </c>
      <c r="C89" s="33" t="s">
        <v>552</v>
      </c>
    </row>
    <row r="90" spans="1:160" s="34" customFormat="1" ht="12.75" x14ac:dyDescent="0.2">
      <c r="A90" s="25"/>
      <c r="B90" s="32" t="s">
        <v>553</v>
      </c>
      <c r="C90" s="33" t="s">
        <v>416</v>
      </c>
    </row>
    <row r="91" spans="1:160" s="34" customFormat="1" ht="12.75" x14ac:dyDescent="0.2">
      <c r="A91" s="25"/>
      <c r="B91" s="32" t="s">
        <v>554</v>
      </c>
      <c r="C91" s="33" t="s">
        <v>555</v>
      </c>
    </row>
    <row r="92" spans="1:160" s="34" customFormat="1" ht="12.75" x14ac:dyDescent="0.2">
      <c r="A92" s="25"/>
      <c r="B92" s="32" t="s">
        <v>556</v>
      </c>
      <c r="C92" s="33" t="s">
        <v>557</v>
      </c>
    </row>
    <row r="93" spans="1:160" s="34" customFormat="1" ht="12.75" x14ac:dyDescent="0.2">
      <c r="A93" s="25"/>
      <c r="B93" s="32" t="s">
        <v>558</v>
      </c>
      <c r="C93" s="33" t="s">
        <v>559</v>
      </c>
    </row>
    <row r="94" spans="1:160" s="34" customFormat="1" ht="12.75" x14ac:dyDescent="0.2">
      <c r="A94" s="25"/>
      <c r="B94" s="32" t="s">
        <v>560</v>
      </c>
      <c r="C94" s="33" t="s">
        <v>561</v>
      </c>
    </row>
    <row r="95" spans="1:160" s="34" customFormat="1" ht="12.75" x14ac:dyDescent="0.2">
      <c r="A95" s="25"/>
      <c r="B95" s="32" t="s">
        <v>562</v>
      </c>
      <c r="C95" s="33" t="s">
        <v>563</v>
      </c>
    </row>
    <row r="96" spans="1:160" s="34" customFormat="1" ht="12.75" x14ac:dyDescent="0.2">
      <c r="A96" s="25"/>
      <c r="B96" s="32" t="s">
        <v>564</v>
      </c>
      <c r="C96" s="33" t="s">
        <v>565</v>
      </c>
    </row>
    <row r="97" spans="1:3" s="34" customFormat="1" ht="12" customHeight="1" x14ac:dyDescent="0.2">
      <c r="A97" s="25"/>
      <c r="B97" s="32" t="s">
        <v>566</v>
      </c>
      <c r="C97" s="33" t="s">
        <v>567</v>
      </c>
    </row>
    <row r="98" spans="1:3" s="34" customFormat="1" ht="12.75" x14ac:dyDescent="0.2">
      <c r="A98" s="25"/>
      <c r="B98" s="32" t="s">
        <v>568</v>
      </c>
      <c r="C98" s="33" t="s">
        <v>569</v>
      </c>
    </row>
    <row r="99" spans="1:3" s="34" customFormat="1" ht="12.75" x14ac:dyDescent="0.2">
      <c r="A99" s="25"/>
      <c r="B99" s="32" t="s">
        <v>570</v>
      </c>
      <c r="C99" s="33" t="s">
        <v>571</v>
      </c>
    </row>
    <row r="100" spans="1:3" s="34" customFormat="1" ht="12.75" x14ac:dyDescent="0.2">
      <c r="A100" s="25"/>
      <c r="B100" s="32" t="s">
        <v>572</v>
      </c>
      <c r="C100" s="33" t="s">
        <v>573</v>
      </c>
    </row>
    <row r="101" spans="1:3" s="34" customFormat="1" ht="12.75" x14ac:dyDescent="0.2">
      <c r="A101" s="25"/>
      <c r="B101" s="32" t="s">
        <v>574</v>
      </c>
      <c r="C101" s="34" t="s">
        <v>575</v>
      </c>
    </row>
    <row r="102" spans="1:3" s="34" customFormat="1" ht="12.75" x14ac:dyDescent="0.2">
      <c r="A102" s="25"/>
      <c r="B102" s="32" t="s">
        <v>576</v>
      </c>
      <c r="C102" s="33" t="s">
        <v>577</v>
      </c>
    </row>
    <row r="103" spans="1:3" s="34" customFormat="1" ht="12.75" x14ac:dyDescent="0.2">
      <c r="A103" s="25"/>
      <c r="B103" s="32" t="s">
        <v>578</v>
      </c>
      <c r="C103" s="33" t="s">
        <v>579</v>
      </c>
    </row>
    <row r="104" spans="1:3" s="34" customFormat="1" ht="12.75" x14ac:dyDescent="0.2">
      <c r="A104" s="25"/>
      <c r="B104" s="32" t="s">
        <v>580</v>
      </c>
      <c r="C104" s="33" t="s">
        <v>581</v>
      </c>
    </row>
    <row r="105" spans="1:3" s="34" customFormat="1" ht="12.75" x14ac:dyDescent="0.2">
      <c r="A105" s="25"/>
      <c r="B105" s="32" t="s">
        <v>582</v>
      </c>
      <c r="C105" s="33" t="s">
        <v>583</v>
      </c>
    </row>
    <row r="106" spans="1:3" s="34" customFormat="1" ht="12.75" x14ac:dyDescent="0.2">
      <c r="A106" s="25"/>
      <c r="B106" s="32" t="s">
        <v>584</v>
      </c>
      <c r="C106" s="33" t="s">
        <v>585</v>
      </c>
    </row>
    <row r="107" spans="1:3" s="34" customFormat="1" ht="12.75" x14ac:dyDescent="0.2">
      <c r="A107" s="25"/>
      <c r="B107" s="32" t="s">
        <v>586</v>
      </c>
      <c r="C107" s="33" t="s">
        <v>587</v>
      </c>
    </row>
    <row r="108" spans="1:3" ht="12.75" x14ac:dyDescent="0.2">
      <c r="A108" s="25"/>
      <c r="B108" s="32" t="s">
        <v>588</v>
      </c>
      <c r="C108" s="33" t="s">
        <v>589</v>
      </c>
    </row>
    <row r="109" spans="1:3" ht="12.75" x14ac:dyDescent="0.2">
      <c r="A109" s="25"/>
      <c r="B109" s="32" t="s">
        <v>590</v>
      </c>
      <c r="C109" s="35" t="s">
        <v>591</v>
      </c>
    </row>
    <row r="110" spans="1:3" ht="12.75" x14ac:dyDescent="0.2">
      <c r="A110" s="25"/>
      <c r="B110" s="32" t="s">
        <v>592</v>
      </c>
      <c r="C110" s="33" t="s">
        <v>548</v>
      </c>
    </row>
    <row r="111" spans="1:3" ht="12.75" x14ac:dyDescent="0.2">
      <c r="A111" s="25"/>
      <c r="B111" s="32" t="s">
        <v>593</v>
      </c>
      <c r="C111" s="33" t="s">
        <v>550</v>
      </c>
    </row>
    <row r="112" spans="1:3" ht="12.75" x14ac:dyDescent="0.2">
      <c r="A112" s="25"/>
      <c r="B112" s="32" t="s">
        <v>594</v>
      </c>
      <c r="C112" s="33" t="s">
        <v>595</v>
      </c>
    </row>
    <row r="113" spans="1:3" ht="12.75" x14ac:dyDescent="0.2">
      <c r="A113" s="25"/>
      <c r="B113" s="32" t="s">
        <v>596</v>
      </c>
      <c r="C113" s="33" t="s">
        <v>597</v>
      </c>
    </row>
    <row r="114" spans="1:3" ht="12.75" x14ac:dyDescent="0.2">
      <c r="A114" s="25"/>
      <c r="B114" s="32" t="s">
        <v>598</v>
      </c>
      <c r="C114" s="33" t="s">
        <v>599</v>
      </c>
    </row>
    <row r="115" spans="1:3" ht="12.75" x14ac:dyDescent="0.2">
      <c r="A115" s="25"/>
      <c r="B115" s="32" t="s">
        <v>600</v>
      </c>
      <c r="C115" s="33" t="s">
        <v>532</v>
      </c>
    </row>
    <row r="116" spans="1:3" ht="12.75" x14ac:dyDescent="0.2">
      <c r="A116" s="25"/>
      <c r="B116" s="32" t="s">
        <v>601</v>
      </c>
      <c r="C116" s="33" t="s">
        <v>602</v>
      </c>
    </row>
    <row r="117" spans="1:3" ht="12.75" x14ac:dyDescent="0.2">
      <c r="A117" s="25"/>
      <c r="B117" s="32" t="s">
        <v>603</v>
      </c>
      <c r="C117" s="33" t="s">
        <v>604</v>
      </c>
    </row>
    <row r="118" spans="1:3" ht="12.75" x14ac:dyDescent="0.2">
      <c r="A118" s="25"/>
      <c r="B118" s="141" t="s">
        <v>605</v>
      </c>
      <c r="C118" s="142" t="s">
        <v>606</v>
      </c>
    </row>
    <row r="119" spans="1:3" ht="12.75" x14ac:dyDescent="0.2">
      <c r="A119" s="25"/>
      <c r="B119" s="32" t="s">
        <v>607</v>
      </c>
      <c r="C119" s="33" t="s">
        <v>608</v>
      </c>
    </row>
    <row r="120" spans="1:3" ht="12.75" x14ac:dyDescent="0.2">
      <c r="A120" s="25"/>
      <c r="B120" s="32" t="s">
        <v>609</v>
      </c>
      <c r="C120" s="33" t="s">
        <v>610</v>
      </c>
    </row>
    <row r="121" spans="1:3" ht="12.75" x14ac:dyDescent="0.2">
      <c r="A121" s="25"/>
      <c r="B121" s="32" t="s">
        <v>611</v>
      </c>
      <c r="C121" s="33" t="s">
        <v>612</v>
      </c>
    </row>
    <row r="122" spans="1:3" ht="12.75" x14ac:dyDescent="0.2">
      <c r="A122" s="25"/>
      <c r="B122" s="32" t="s">
        <v>613</v>
      </c>
      <c r="C122" s="33" t="s">
        <v>614</v>
      </c>
    </row>
    <row r="123" spans="1:3" ht="12.75" x14ac:dyDescent="0.2">
      <c r="A123" s="25"/>
      <c r="B123" s="32" t="s">
        <v>615</v>
      </c>
      <c r="C123" s="33" t="s">
        <v>616</v>
      </c>
    </row>
    <row r="124" spans="1:3" ht="12.75" x14ac:dyDescent="0.2">
      <c r="A124" s="25"/>
      <c r="B124" s="32" t="s">
        <v>617</v>
      </c>
      <c r="C124" s="33" t="s">
        <v>618</v>
      </c>
    </row>
    <row r="125" spans="1:3" s="34" customFormat="1" ht="12.75" x14ac:dyDescent="0.2">
      <c r="A125" s="25"/>
      <c r="B125" s="32" t="s">
        <v>619</v>
      </c>
      <c r="C125" s="33" t="s">
        <v>620</v>
      </c>
    </row>
    <row r="126" spans="1:3" ht="12.75" x14ac:dyDescent="0.2">
      <c r="A126" s="25"/>
      <c r="B126" s="32" t="s">
        <v>621</v>
      </c>
      <c r="C126" s="33" t="s">
        <v>622</v>
      </c>
    </row>
    <row r="127" spans="1:3" ht="12.75" x14ac:dyDescent="0.2">
      <c r="A127" s="25"/>
      <c r="B127" s="32" t="s">
        <v>623</v>
      </c>
      <c r="C127" s="33" t="s">
        <v>624</v>
      </c>
    </row>
    <row r="128" spans="1:3" ht="12.75" x14ac:dyDescent="0.2">
      <c r="A128" s="25"/>
      <c r="B128" s="32" t="s">
        <v>625</v>
      </c>
      <c r="C128" s="33" t="s">
        <v>626</v>
      </c>
    </row>
    <row r="129" spans="1:160" ht="12.75" x14ac:dyDescent="0.2">
      <c r="A129" s="25"/>
      <c r="B129" s="32" t="s">
        <v>627</v>
      </c>
      <c r="C129" s="33" t="s">
        <v>628</v>
      </c>
    </row>
    <row r="130" spans="1:160" ht="12.75" x14ac:dyDescent="0.2">
      <c r="A130" s="25"/>
      <c r="B130" s="32" t="s">
        <v>629</v>
      </c>
      <c r="C130" s="33" t="s">
        <v>630</v>
      </c>
    </row>
    <row r="131" spans="1:160" ht="12.75" x14ac:dyDescent="0.2">
      <c r="A131" s="25"/>
      <c r="B131" s="32" t="s">
        <v>631</v>
      </c>
      <c r="C131" s="33" t="s">
        <v>632</v>
      </c>
    </row>
    <row r="132" spans="1:160" ht="12.75" x14ac:dyDescent="0.2">
      <c r="A132" s="25"/>
      <c r="B132" s="32" t="s">
        <v>633</v>
      </c>
      <c r="C132" s="33" t="s">
        <v>634</v>
      </c>
    </row>
    <row r="133" spans="1:160" ht="12.75" x14ac:dyDescent="0.2">
      <c r="A133" s="25"/>
      <c r="B133" s="25"/>
      <c r="C133" s="25"/>
    </row>
    <row r="134" spans="1:160" ht="13.5" thickBot="1" x14ac:dyDescent="0.25">
      <c r="A134" s="25"/>
      <c r="B134" s="25"/>
      <c r="C134" s="25"/>
    </row>
    <row r="135" spans="1:160" ht="19.5" customHeight="1" thickBot="1" x14ac:dyDescent="0.3">
      <c r="A135" s="25"/>
      <c r="B135" s="852" t="s">
        <v>635</v>
      </c>
      <c r="C135" s="853"/>
    </row>
    <row r="136" spans="1:160" ht="24.75" customHeight="1" thickBot="1" x14ac:dyDescent="0.3">
      <c r="A136" s="25"/>
      <c r="B136" s="852" t="s">
        <v>402</v>
      </c>
      <c r="C136" s="853"/>
      <c r="FD136" s="135"/>
    </row>
    <row r="137" spans="1:160" ht="15.75" customHeight="1" thickBot="1" x14ac:dyDescent="0.3">
      <c r="A137" s="25"/>
      <c r="B137" s="852" t="s">
        <v>636</v>
      </c>
      <c r="C137" s="853"/>
    </row>
    <row r="138" spans="1:160" ht="24" thickBot="1" x14ac:dyDescent="0.3">
      <c r="A138" s="25"/>
      <c r="B138" s="137" t="str">
        <f>+$B$11</f>
        <v>Código ID Partida</v>
      </c>
      <c r="C138" s="138" t="str">
        <f>+$C$11</f>
        <v>Descripción</v>
      </c>
    </row>
    <row r="139" spans="1:160" ht="12.75" x14ac:dyDescent="0.2">
      <c r="A139" s="25"/>
      <c r="B139" s="32" t="s">
        <v>637</v>
      </c>
      <c r="C139" s="35" t="s">
        <v>638</v>
      </c>
    </row>
    <row r="140" spans="1:160" ht="12.75" x14ac:dyDescent="0.2">
      <c r="A140" s="25"/>
      <c r="B140" s="32" t="s">
        <v>639</v>
      </c>
      <c r="C140" s="33" t="s">
        <v>640</v>
      </c>
    </row>
    <row r="141" spans="1:160" ht="12.75" x14ac:dyDescent="0.2">
      <c r="A141" s="25"/>
      <c r="B141" s="32" t="s">
        <v>641</v>
      </c>
      <c r="C141" s="33" t="s">
        <v>642</v>
      </c>
    </row>
    <row r="142" spans="1:160" ht="12.75" x14ac:dyDescent="0.2">
      <c r="A142" s="25"/>
      <c r="B142" s="32" t="s">
        <v>643</v>
      </c>
      <c r="C142" s="33" t="s">
        <v>644</v>
      </c>
    </row>
    <row r="143" spans="1:160" ht="12.75" x14ac:dyDescent="0.2">
      <c r="A143" s="25"/>
      <c r="B143" s="32" t="s">
        <v>645</v>
      </c>
      <c r="C143" s="33" t="s">
        <v>646</v>
      </c>
    </row>
    <row r="144" spans="1:160" ht="12.75" x14ac:dyDescent="0.2">
      <c r="A144" s="25"/>
      <c r="B144" s="32" t="s">
        <v>647</v>
      </c>
      <c r="C144" s="33" t="s">
        <v>648</v>
      </c>
    </row>
    <row r="145" spans="1:3" ht="12.75" x14ac:dyDescent="0.2">
      <c r="A145" s="25"/>
      <c r="B145" s="32" t="s">
        <v>649</v>
      </c>
      <c r="C145" s="33" t="s">
        <v>650</v>
      </c>
    </row>
    <row r="146" spans="1:3" ht="12.75" x14ac:dyDescent="0.2">
      <c r="A146" s="25"/>
      <c r="B146" s="32" t="s">
        <v>651</v>
      </c>
      <c r="C146" s="33" t="s">
        <v>652</v>
      </c>
    </row>
    <row r="147" spans="1:3" ht="12.75" x14ac:dyDescent="0.2">
      <c r="A147" s="25"/>
      <c r="B147" s="32" t="s">
        <v>653</v>
      </c>
      <c r="C147" s="33" t="s">
        <v>654</v>
      </c>
    </row>
    <row r="148" spans="1:3" ht="12.75" x14ac:dyDescent="0.2">
      <c r="A148" s="25"/>
      <c r="B148" s="32" t="s">
        <v>655</v>
      </c>
      <c r="C148" s="33" t="s">
        <v>656</v>
      </c>
    </row>
    <row r="149" spans="1:3" ht="12.75" x14ac:dyDescent="0.2">
      <c r="A149" s="25"/>
      <c r="B149" s="32" t="s">
        <v>657</v>
      </c>
      <c r="C149" s="33" t="s">
        <v>658</v>
      </c>
    </row>
    <row r="150" spans="1:3" s="34" customFormat="1" ht="12.75" x14ac:dyDescent="0.2">
      <c r="A150" s="25"/>
      <c r="B150" s="32" t="s">
        <v>659</v>
      </c>
      <c r="C150" s="33" t="s">
        <v>660</v>
      </c>
    </row>
    <row r="151" spans="1:3" s="34" customFormat="1" ht="12.75" x14ac:dyDescent="0.2">
      <c r="A151" s="25"/>
      <c r="B151" s="32" t="s">
        <v>661</v>
      </c>
      <c r="C151" s="33" t="s">
        <v>662</v>
      </c>
    </row>
    <row r="152" spans="1:3" s="34" customFormat="1" ht="12.75" x14ac:dyDescent="0.2">
      <c r="A152" s="25"/>
      <c r="B152" s="32" t="s">
        <v>663</v>
      </c>
      <c r="C152" s="33" t="s">
        <v>664</v>
      </c>
    </row>
    <row r="153" spans="1:3" s="34" customFormat="1" ht="12.75" x14ac:dyDescent="0.2">
      <c r="A153" s="25"/>
      <c r="B153" s="32" t="s">
        <v>665</v>
      </c>
      <c r="C153" s="33" t="s">
        <v>666</v>
      </c>
    </row>
    <row r="154" spans="1:3" s="34" customFormat="1" ht="12.75" x14ac:dyDescent="0.2">
      <c r="A154" s="25"/>
      <c r="B154" s="32" t="s">
        <v>667</v>
      </c>
      <c r="C154" s="33" t="s">
        <v>668</v>
      </c>
    </row>
    <row r="155" spans="1:3" s="34" customFormat="1" ht="12.75" x14ac:dyDescent="0.2">
      <c r="A155" s="25"/>
      <c r="B155" s="32" t="s">
        <v>669</v>
      </c>
      <c r="C155" s="33" t="s">
        <v>670</v>
      </c>
    </row>
    <row r="156" spans="1:3" s="34" customFormat="1" ht="12.75" x14ac:dyDescent="0.2">
      <c r="A156" s="25"/>
      <c r="B156" s="32" t="s">
        <v>671</v>
      </c>
      <c r="C156" s="33" t="s">
        <v>672</v>
      </c>
    </row>
    <row r="157" spans="1:3" s="34" customFormat="1" ht="12.75" x14ac:dyDescent="0.2">
      <c r="A157" s="25"/>
      <c r="B157" s="32" t="s">
        <v>673</v>
      </c>
      <c r="C157" s="35" t="s">
        <v>674</v>
      </c>
    </row>
    <row r="158" spans="1:3" s="34" customFormat="1" ht="12.75" x14ac:dyDescent="0.2">
      <c r="A158" s="25"/>
      <c r="B158" s="32" t="s">
        <v>675</v>
      </c>
      <c r="C158" s="33" t="s">
        <v>676</v>
      </c>
    </row>
    <row r="159" spans="1:3" s="34" customFormat="1" ht="12.75" x14ac:dyDescent="0.2">
      <c r="A159" s="25"/>
      <c r="B159" s="32" t="s">
        <v>677</v>
      </c>
      <c r="C159" s="33" t="s">
        <v>678</v>
      </c>
    </row>
    <row r="160" spans="1:3" s="34" customFormat="1" ht="12.75" x14ac:dyDescent="0.2">
      <c r="A160" s="25"/>
      <c r="B160" s="32" t="s">
        <v>679</v>
      </c>
      <c r="C160" s="33" t="s">
        <v>680</v>
      </c>
    </row>
    <row r="161" spans="1:3" s="34" customFormat="1" ht="12.75" x14ac:dyDescent="0.2">
      <c r="A161" s="25"/>
      <c r="B161" s="32" t="s">
        <v>681</v>
      </c>
      <c r="C161" s="33" t="s">
        <v>682</v>
      </c>
    </row>
    <row r="162" spans="1:3" s="34" customFormat="1" ht="12.75" x14ac:dyDescent="0.2">
      <c r="A162" s="25"/>
      <c r="B162" s="32" t="s">
        <v>683</v>
      </c>
      <c r="C162" s="33" t="s">
        <v>684</v>
      </c>
    </row>
    <row r="163" spans="1:3" s="34" customFormat="1" ht="12.75" x14ac:dyDescent="0.2">
      <c r="A163" s="25"/>
      <c r="B163" s="32" t="s">
        <v>685</v>
      </c>
      <c r="C163" s="33" t="s">
        <v>686</v>
      </c>
    </row>
    <row r="164" spans="1:3" s="34" customFormat="1" ht="12.75" x14ac:dyDescent="0.2">
      <c r="A164" s="25"/>
      <c r="B164" s="36" t="s">
        <v>687</v>
      </c>
      <c r="C164" s="37" t="s">
        <v>688</v>
      </c>
    </row>
    <row r="165" spans="1:3" s="34" customFormat="1" ht="12.75" x14ac:dyDescent="0.2">
      <c r="A165" s="25"/>
      <c r="B165" s="32" t="s">
        <v>689</v>
      </c>
      <c r="C165" s="35" t="s">
        <v>690</v>
      </c>
    </row>
    <row r="166" spans="1:3" ht="12.75" x14ac:dyDescent="0.2">
      <c r="A166" s="25"/>
      <c r="B166" s="32" t="s">
        <v>691</v>
      </c>
      <c r="C166" s="33" t="s">
        <v>692</v>
      </c>
    </row>
    <row r="167" spans="1:3" ht="12.75" x14ac:dyDescent="0.2">
      <c r="A167" s="25"/>
      <c r="B167" s="32" t="s">
        <v>693</v>
      </c>
      <c r="C167" s="33" t="s">
        <v>694</v>
      </c>
    </row>
    <row r="168" spans="1:3" ht="12.75" x14ac:dyDescent="0.2">
      <c r="A168" s="25"/>
      <c r="B168" s="32" t="s">
        <v>695</v>
      </c>
      <c r="C168" s="33" t="s">
        <v>696</v>
      </c>
    </row>
    <row r="169" spans="1:3" ht="25.5" x14ac:dyDescent="0.2">
      <c r="A169" s="25"/>
      <c r="B169" s="32" t="s">
        <v>697</v>
      </c>
      <c r="C169" s="33" t="s">
        <v>698</v>
      </c>
    </row>
    <row r="170" spans="1:3" ht="12.75" x14ac:dyDescent="0.2">
      <c r="A170" s="25"/>
      <c r="B170" s="32" t="s">
        <v>699</v>
      </c>
      <c r="C170" s="33" t="s">
        <v>700</v>
      </c>
    </row>
    <row r="171" spans="1:3" ht="12.75" x14ac:dyDescent="0.2">
      <c r="A171" s="25"/>
      <c r="B171" s="32" t="s">
        <v>701</v>
      </c>
      <c r="C171" s="33" t="s">
        <v>702</v>
      </c>
    </row>
    <row r="172" spans="1:3" ht="12.75" x14ac:dyDescent="0.2">
      <c r="A172" s="25"/>
      <c r="B172" s="32" t="s">
        <v>703</v>
      </c>
      <c r="C172" s="33" t="s">
        <v>704</v>
      </c>
    </row>
    <row r="173" spans="1:3" ht="12.75" x14ac:dyDescent="0.2">
      <c r="A173" s="25"/>
      <c r="B173" s="32" t="s">
        <v>705</v>
      </c>
      <c r="C173" s="33" t="s">
        <v>706</v>
      </c>
    </row>
    <row r="174" spans="1:3" ht="12.75" x14ac:dyDescent="0.2">
      <c r="A174" s="25"/>
      <c r="B174" s="32" t="s">
        <v>707</v>
      </c>
      <c r="C174" s="35" t="s">
        <v>708</v>
      </c>
    </row>
    <row r="175" spans="1:3" ht="12.75" x14ac:dyDescent="0.2">
      <c r="A175" s="25"/>
      <c r="B175" s="32" t="s">
        <v>709</v>
      </c>
      <c r="C175" s="33" t="s">
        <v>710</v>
      </c>
    </row>
    <row r="176" spans="1:3" ht="12.75" x14ac:dyDescent="0.2">
      <c r="A176" s="25"/>
      <c r="B176" s="32" t="s">
        <v>711</v>
      </c>
      <c r="C176" s="33" t="s">
        <v>712</v>
      </c>
    </row>
    <row r="177" spans="1:3" s="34" customFormat="1" ht="12.75" x14ac:dyDescent="0.2">
      <c r="A177" s="25"/>
      <c r="B177" s="32" t="s">
        <v>713</v>
      </c>
      <c r="C177" s="33" t="s">
        <v>714</v>
      </c>
    </row>
    <row r="178" spans="1:3" s="34" customFormat="1" ht="25.5" x14ac:dyDescent="0.2">
      <c r="A178" s="25"/>
      <c r="B178" s="32" t="s">
        <v>715</v>
      </c>
      <c r="C178" s="33" t="s">
        <v>716</v>
      </c>
    </row>
    <row r="179" spans="1:3" s="34" customFormat="1" ht="12.75" x14ac:dyDescent="0.2">
      <c r="A179" s="25"/>
      <c r="B179" s="32" t="s">
        <v>717</v>
      </c>
      <c r="C179" s="33" t="s">
        <v>718</v>
      </c>
    </row>
    <row r="180" spans="1:3" s="34" customFormat="1" ht="12.75" x14ac:dyDescent="0.2">
      <c r="A180" s="25"/>
      <c r="B180" s="36" t="s">
        <v>719</v>
      </c>
      <c r="C180" s="37" t="s">
        <v>720</v>
      </c>
    </row>
    <row r="181" spans="1:3" s="34" customFormat="1" ht="12.75" x14ac:dyDescent="0.2">
      <c r="A181" s="25"/>
      <c r="B181" s="32" t="s">
        <v>721</v>
      </c>
      <c r="C181" s="33" t="s">
        <v>722</v>
      </c>
    </row>
    <row r="182" spans="1:3" s="34" customFormat="1" ht="12.75" x14ac:dyDescent="0.2">
      <c r="A182" s="25"/>
      <c r="B182" s="32" t="s">
        <v>723</v>
      </c>
      <c r="C182" s="33" t="s">
        <v>724</v>
      </c>
    </row>
    <row r="183" spans="1:3" s="34" customFormat="1" ht="12.75" x14ac:dyDescent="0.2">
      <c r="A183" s="25"/>
      <c r="B183" s="32" t="s">
        <v>725</v>
      </c>
      <c r="C183" s="33" t="s">
        <v>726</v>
      </c>
    </row>
    <row r="184" spans="1:3" s="34" customFormat="1" ht="12.75" x14ac:dyDescent="0.2">
      <c r="A184" s="25"/>
      <c r="B184" s="32" t="s">
        <v>727</v>
      </c>
      <c r="C184" s="33" t="s">
        <v>728</v>
      </c>
    </row>
    <row r="185" spans="1:3" s="34" customFormat="1" ht="12.75" x14ac:dyDescent="0.2">
      <c r="A185" s="25"/>
      <c r="B185" s="32" t="s">
        <v>729</v>
      </c>
      <c r="C185" s="33" t="s">
        <v>730</v>
      </c>
    </row>
    <row r="186" spans="1:3" s="34" customFormat="1" ht="12.75" x14ac:dyDescent="0.2">
      <c r="A186" s="25"/>
      <c r="B186" s="32" t="s">
        <v>731</v>
      </c>
      <c r="C186" s="33" t="s">
        <v>732</v>
      </c>
    </row>
    <row r="187" spans="1:3" s="34" customFormat="1" ht="12.75" x14ac:dyDescent="0.2">
      <c r="A187" s="25"/>
      <c r="B187" s="32" t="s">
        <v>733</v>
      </c>
      <c r="C187" s="33" t="s">
        <v>734</v>
      </c>
    </row>
    <row r="188" spans="1:3" s="34" customFormat="1" ht="12.75" x14ac:dyDescent="0.2">
      <c r="A188" s="25"/>
      <c r="B188" s="32" t="s">
        <v>735</v>
      </c>
      <c r="C188" s="35" t="s">
        <v>736</v>
      </c>
    </row>
    <row r="189" spans="1:3" ht="12.75" x14ac:dyDescent="0.2">
      <c r="A189" s="25"/>
      <c r="B189" s="32" t="s">
        <v>737</v>
      </c>
      <c r="C189" s="33" t="s">
        <v>738</v>
      </c>
    </row>
    <row r="190" spans="1:3" ht="12.75" x14ac:dyDescent="0.2">
      <c r="A190" s="25"/>
      <c r="B190" s="32" t="s">
        <v>739</v>
      </c>
      <c r="C190" s="33" t="s">
        <v>450</v>
      </c>
    </row>
    <row r="191" spans="1:3" ht="12.75" x14ac:dyDescent="0.2">
      <c r="A191" s="25"/>
      <c r="B191" s="38"/>
      <c r="C191" s="40"/>
    </row>
    <row r="192" spans="1:3" ht="13.5" thickBot="1" x14ac:dyDescent="0.25">
      <c r="A192" s="25" t="s">
        <v>740</v>
      </c>
    </row>
    <row r="193" spans="1:160" ht="24.75" customHeight="1" thickBot="1" x14ac:dyDescent="0.3">
      <c r="A193" s="25"/>
      <c r="B193" s="852" t="s">
        <v>741</v>
      </c>
      <c r="C193" s="853"/>
      <c r="FD193" s="135"/>
    </row>
    <row r="194" spans="1:160" ht="14.25" customHeight="1" thickBot="1" x14ac:dyDescent="0.3">
      <c r="A194" s="25"/>
      <c r="B194" s="852" t="s">
        <v>742</v>
      </c>
      <c r="C194" s="853" t="s">
        <v>743</v>
      </c>
    </row>
    <row r="195" spans="1:160" ht="24" thickBot="1" x14ac:dyDescent="0.3">
      <c r="A195" s="25"/>
      <c r="B195" s="137" t="str">
        <f>+$B$11</f>
        <v>Código ID Partida</v>
      </c>
      <c r="C195" s="138" t="str">
        <f>+$C$11</f>
        <v>Descripción</v>
      </c>
    </row>
    <row r="196" spans="1:160" ht="12.75" x14ac:dyDescent="0.2">
      <c r="A196" s="25"/>
      <c r="B196" s="143" t="s">
        <v>744</v>
      </c>
      <c r="C196" s="90" t="s">
        <v>745</v>
      </c>
    </row>
    <row r="197" spans="1:160" ht="12.75" x14ac:dyDescent="0.2">
      <c r="A197" s="25"/>
      <c r="B197" s="144" t="s">
        <v>746</v>
      </c>
      <c r="C197" s="92" t="s">
        <v>747</v>
      </c>
    </row>
    <row r="198" spans="1:160" ht="12.75" x14ac:dyDescent="0.2">
      <c r="A198" s="25"/>
      <c r="B198" s="144" t="s">
        <v>748</v>
      </c>
      <c r="C198" s="92" t="s">
        <v>749</v>
      </c>
    </row>
    <row r="199" spans="1:160" ht="12.75" x14ac:dyDescent="0.2">
      <c r="A199" s="25"/>
      <c r="B199" s="144" t="s">
        <v>750</v>
      </c>
      <c r="C199" s="92" t="s">
        <v>751</v>
      </c>
    </row>
    <row r="200" spans="1:160" ht="12.75" x14ac:dyDescent="0.2">
      <c r="A200" s="25"/>
      <c r="B200" s="144" t="s">
        <v>752</v>
      </c>
      <c r="C200" s="92" t="s">
        <v>753</v>
      </c>
    </row>
    <row r="201" spans="1:160" ht="12.75" x14ac:dyDescent="0.2">
      <c r="A201" s="25"/>
      <c r="B201" s="144" t="s">
        <v>754</v>
      </c>
      <c r="C201" s="145" t="s">
        <v>755</v>
      </c>
    </row>
    <row r="202" spans="1:160" ht="12.75" x14ac:dyDescent="0.2">
      <c r="A202" s="25"/>
      <c r="B202" s="144" t="s">
        <v>756</v>
      </c>
      <c r="C202" s="93" t="s">
        <v>757</v>
      </c>
    </row>
    <row r="203" spans="1:160" ht="12.75" x14ac:dyDescent="0.2">
      <c r="A203" s="25"/>
      <c r="B203" s="144" t="s">
        <v>758</v>
      </c>
      <c r="C203" s="93" t="s">
        <v>759</v>
      </c>
    </row>
    <row r="204" spans="1:160" ht="12.75" x14ac:dyDescent="0.2">
      <c r="A204" s="25"/>
      <c r="B204" s="144" t="s">
        <v>760</v>
      </c>
      <c r="C204" s="92" t="s">
        <v>761</v>
      </c>
    </row>
    <row r="205" spans="1:160" ht="12.75" x14ac:dyDescent="0.2">
      <c r="A205" s="25"/>
      <c r="B205" s="144" t="s">
        <v>762</v>
      </c>
      <c r="C205" s="92" t="s">
        <v>763</v>
      </c>
    </row>
    <row r="206" spans="1:160" ht="12.75" x14ac:dyDescent="0.2">
      <c r="A206" s="25"/>
      <c r="B206" s="144" t="s">
        <v>764</v>
      </c>
      <c r="C206" s="92" t="s">
        <v>765</v>
      </c>
    </row>
    <row r="207" spans="1:160" ht="12.75" x14ac:dyDescent="0.2">
      <c r="A207" s="25"/>
      <c r="B207" s="144" t="s">
        <v>766</v>
      </c>
      <c r="C207" s="92" t="s">
        <v>767</v>
      </c>
    </row>
    <row r="208" spans="1:160" ht="12.75" x14ac:dyDescent="0.2">
      <c r="B208" s="146" t="s">
        <v>768</v>
      </c>
      <c r="C208" s="146" t="s">
        <v>769</v>
      </c>
    </row>
    <row r="209" spans="2:3" ht="12.75" x14ac:dyDescent="0.2">
      <c r="B209" s="144" t="s">
        <v>770</v>
      </c>
      <c r="C209" s="94" t="s">
        <v>771</v>
      </c>
    </row>
    <row r="210" spans="2:3" ht="12.75" x14ac:dyDescent="0.2">
      <c r="B210" s="144" t="s">
        <v>772</v>
      </c>
      <c r="C210" s="94" t="s">
        <v>773</v>
      </c>
    </row>
    <row r="211" spans="2:3" ht="12.75" x14ac:dyDescent="0.2">
      <c r="B211" s="144"/>
      <c r="C211" s="94"/>
    </row>
    <row r="212" spans="2:3" ht="12.75" x14ac:dyDescent="0.2">
      <c r="B212" s="143" t="s">
        <v>774</v>
      </c>
      <c r="C212" s="95" t="s">
        <v>775</v>
      </c>
    </row>
    <row r="213" spans="2:3" ht="12.75" x14ac:dyDescent="0.2">
      <c r="B213" s="144" t="s">
        <v>776</v>
      </c>
      <c r="C213" s="92" t="s">
        <v>777</v>
      </c>
    </row>
    <row r="214" spans="2:3" ht="12.75" x14ac:dyDescent="0.2">
      <c r="B214" s="144" t="s">
        <v>778</v>
      </c>
      <c r="C214" s="92" t="s">
        <v>779</v>
      </c>
    </row>
    <row r="215" spans="2:3" ht="12.75" x14ac:dyDescent="0.2">
      <c r="B215" s="144" t="s">
        <v>780</v>
      </c>
      <c r="C215" s="92" t="s">
        <v>781</v>
      </c>
    </row>
    <row r="216" spans="2:3" ht="12.75" x14ac:dyDescent="0.2">
      <c r="B216" s="144" t="s">
        <v>782</v>
      </c>
      <c r="C216" s="92" t="s">
        <v>783</v>
      </c>
    </row>
    <row r="217" spans="2:3" ht="12.75" x14ac:dyDescent="0.2">
      <c r="B217" s="144" t="s">
        <v>784</v>
      </c>
      <c r="C217" s="92" t="s">
        <v>785</v>
      </c>
    </row>
    <row r="218" spans="2:3" ht="12.75" x14ac:dyDescent="0.2">
      <c r="B218" s="144" t="s">
        <v>786</v>
      </c>
      <c r="C218" s="94" t="s">
        <v>787</v>
      </c>
    </row>
    <row r="219" spans="2:3" ht="12.75" x14ac:dyDescent="0.2">
      <c r="B219" s="144" t="s">
        <v>788</v>
      </c>
      <c r="C219" s="94" t="s">
        <v>789</v>
      </c>
    </row>
    <row r="220" spans="2:3" ht="12.75" x14ac:dyDescent="0.2">
      <c r="B220" s="144" t="s">
        <v>790</v>
      </c>
      <c r="C220" s="94" t="s">
        <v>791</v>
      </c>
    </row>
    <row r="221" spans="2:3" ht="12.75" x14ac:dyDescent="0.2">
      <c r="B221" s="144" t="s">
        <v>792</v>
      </c>
      <c r="C221" s="94" t="s">
        <v>793</v>
      </c>
    </row>
    <row r="222" spans="2:3" ht="12.75" x14ac:dyDescent="0.2">
      <c r="B222" s="144"/>
      <c r="C222" s="94"/>
    </row>
    <row r="223" spans="2:3" s="34" customFormat="1" ht="12.75" x14ac:dyDescent="0.2">
      <c r="B223" s="143" t="s">
        <v>794</v>
      </c>
      <c r="C223" s="95" t="s">
        <v>795</v>
      </c>
    </row>
    <row r="224" spans="2:3" s="34" customFormat="1" ht="12.75" x14ac:dyDescent="0.2">
      <c r="B224" s="144" t="s">
        <v>796</v>
      </c>
      <c r="C224" s="92" t="s">
        <v>797</v>
      </c>
    </row>
    <row r="225" spans="2:3" s="34" customFormat="1" ht="12.75" x14ac:dyDescent="0.2">
      <c r="B225" s="144" t="s">
        <v>798</v>
      </c>
      <c r="C225" s="92" t="s">
        <v>799</v>
      </c>
    </row>
    <row r="226" spans="2:3" ht="12.75" x14ac:dyDescent="0.2">
      <c r="B226" s="144" t="s">
        <v>800</v>
      </c>
      <c r="C226" s="145" t="s">
        <v>801</v>
      </c>
    </row>
    <row r="227" spans="2:3" ht="12.75" x14ac:dyDescent="0.2">
      <c r="B227" s="144" t="s">
        <v>802</v>
      </c>
      <c r="C227" s="145" t="s">
        <v>803</v>
      </c>
    </row>
    <row r="228" spans="2:3" ht="12.75" x14ac:dyDescent="0.2">
      <c r="B228" s="144" t="s">
        <v>804</v>
      </c>
      <c r="C228" s="92" t="s">
        <v>805</v>
      </c>
    </row>
    <row r="229" spans="2:3" ht="12.75" x14ac:dyDescent="0.2">
      <c r="B229" s="144" t="s">
        <v>806</v>
      </c>
      <c r="C229" s="92" t="s">
        <v>807</v>
      </c>
    </row>
    <row r="230" spans="2:3" ht="12.75" x14ac:dyDescent="0.2">
      <c r="B230" s="144" t="s">
        <v>808</v>
      </c>
      <c r="C230" s="95" t="s">
        <v>809</v>
      </c>
    </row>
    <row r="231" spans="2:3" ht="12.75" x14ac:dyDescent="0.2">
      <c r="B231" s="144" t="s">
        <v>810</v>
      </c>
      <c r="C231" s="94" t="s">
        <v>811</v>
      </c>
    </row>
    <row r="232" spans="2:3" ht="12.75" x14ac:dyDescent="0.2">
      <c r="B232" s="144" t="s">
        <v>812</v>
      </c>
      <c r="C232" s="94" t="s">
        <v>813</v>
      </c>
    </row>
    <row r="233" spans="2:3" ht="12.75" x14ac:dyDescent="0.2">
      <c r="B233" s="144"/>
      <c r="C233" s="94"/>
    </row>
    <row r="234" spans="2:3" ht="12.75" x14ac:dyDescent="0.2">
      <c r="B234" s="143" t="s">
        <v>814</v>
      </c>
      <c r="C234" s="95" t="s">
        <v>815</v>
      </c>
    </row>
    <row r="235" spans="2:3" ht="12.75" x14ac:dyDescent="0.2">
      <c r="B235" s="144" t="s">
        <v>816</v>
      </c>
      <c r="C235" s="92" t="s">
        <v>817</v>
      </c>
    </row>
    <row r="236" spans="2:3" ht="12.75" x14ac:dyDescent="0.2">
      <c r="B236" s="144" t="s">
        <v>818</v>
      </c>
      <c r="C236" s="92" t="s">
        <v>819</v>
      </c>
    </row>
    <row r="237" spans="2:3" ht="12.75" x14ac:dyDescent="0.2">
      <c r="B237" s="144" t="s">
        <v>820</v>
      </c>
      <c r="C237" s="92" t="s">
        <v>821</v>
      </c>
    </row>
    <row r="238" spans="2:3" ht="12.75" x14ac:dyDescent="0.2">
      <c r="B238" s="144" t="s">
        <v>822</v>
      </c>
      <c r="C238" s="92" t="s">
        <v>823</v>
      </c>
    </row>
    <row r="239" spans="2:3" ht="12.75" x14ac:dyDescent="0.2">
      <c r="B239" s="144" t="s">
        <v>824</v>
      </c>
      <c r="C239" s="92" t="s">
        <v>825</v>
      </c>
    </row>
    <row r="240" spans="2:3" ht="12.75" x14ac:dyDescent="0.2">
      <c r="B240" s="144" t="s">
        <v>826</v>
      </c>
      <c r="C240" s="92" t="s">
        <v>827</v>
      </c>
    </row>
    <row r="241" spans="1:160" ht="12.75" x14ac:dyDescent="0.2">
      <c r="B241" s="144" t="s">
        <v>828</v>
      </c>
      <c r="C241" s="92" t="s">
        <v>829</v>
      </c>
    </row>
    <row r="242" spans="1:160" ht="12.75" x14ac:dyDescent="0.2">
      <c r="B242" s="144" t="s">
        <v>830</v>
      </c>
      <c r="C242" s="92" t="s">
        <v>831</v>
      </c>
    </row>
    <row r="243" spans="1:160" ht="12.75" x14ac:dyDescent="0.2">
      <c r="B243" s="144" t="s">
        <v>832</v>
      </c>
      <c r="C243" s="92" t="s">
        <v>833</v>
      </c>
    </row>
    <row r="244" spans="1:160" ht="12.75" x14ac:dyDescent="0.2">
      <c r="B244" s="144" t="s">
        <v>834</v>
      </c>
      <c r="C244" s="92" t="s">
        <v>835</v>
      </c>
    </row>
    <row r="245" spans="1:160" ht="12.75" x14ac:dyDescent="0.2">
      <c r="A245" s="26"/>
      <c r="B245" s="144" t="s">
        <v>836</v>
      </c>
      <c r="C245" s="92" t="s">
        <v>837</v>
      </c>
    </row>
    <row r="246" spans="1:160" ht="12.75" x14ac:dyDescent="0.2">
      <c r="A246" s="26"/>
      <c r="B246" s="144"/>
      <c r="C246" s="94"/>
    </row>
    <row r="247" spans="1:160" ht="15.75" customHeight="1" x14ac:dyDescent="0.2">
      <c r="A247" s="26"/>
      <c r="B247" s="26"/>
      <c r="C247" s="26"/>
    </row>
    <row r="248" spans="1:160" ht="14.25" customHeight="1" x14ac:dyDescent="0.2">
      <c r="A248" s="25" t="s">
        <v>740</v>
      </c>
      <c r="B248" s="26"/>
      <c r="C248" s="26"/>
    </row>
    <row r="249" spans="1:160" ht="24.75" customHeight="1" thickBot="1" x14ac:dyDescent="0.25">
      <c r="A249" s="25"/>
      <c r="B249" s="26"/>
      <c r="C249" s="26"/>
      <c r="FD249" s="135"/>
    </row>
    <row r="250" spans="1:160" ht="15.75" customHeight="1" thickBot="1" x14ac:dyDescent="0.3">
      <c r="B250" s="852" t="s">
        <v>741</v>
      </c>
      <c r="C250" s="853"/>
    </row>
    <row r="251" spans="1:160" ht="13.5" customHeight="1" thickBot="1" x14ac:dyDescent="0.3">
      <c r="B251" s="852" t="s">
        <v>742</v>
      </c>
      <c r="C251" s="853" t="s">
        <v>743</v>
      </c>
    </row>
    <row r="252" spans="1:160" ht="24" thickBot="1" x14ac:dyDescent="0.3">
      <c r="B252" s="137" t="str">
        <f>+$B$11</f>
        <v>Código ID Partida</v>
      </c>
      <c r="C252" s="138" t="str">
        <f>+$C$11</f>
        <v>Descripción</v>
      </c>
    </row>
    <row r="253" spans="1:160" ht="12.75" x14ac:dyDescent="0.2">
      <c r="B253" s="144"/>
      <c r="C253" s="94"/>
    </row>
    <row r="254" spans="1:160" ht="25.5" x14ac:dyDescent="0.2">
      <c r="B254" s="143" t="s">
        <v>838</v>
      </c>
      <c r="C254" s="95" t="s">
        <v>839</v>
      </c>
    </row>
    <row r="255" spans="1:160" ht="12.75" x14ac:dyDescent="0.2">
      <c r="B255" s="144" t="s">
        <v>840</v>
      </c>
      <c r="C255" s="93" t="s">
        <v>841</v>
      </c>
    </row>
    <row r="256" spans="1:160" ht="12.75" x14ac:dyDescent="0.2">
      <c r="B256" s="144" t="s">
        <v>842</v>
      </c>
      <c r="C256" s="93" t="s">
        <v>843</v>
      </c>
    </row>
    <row r="257" spans="2:3" s="34" customFormat="1" ht="12.75" x14ac:dyDescent="0.2">
      <c r="B257" s="144" t="s">
        <v>844</v>
      </c>
      <c r="C257" s="93" t="s">
        <v>845</v>
      </c>
    </row>
    <row r="258" spans="2:3" s="34" customFormat="1" ht="12.75" x14ac:dyDescent="0.2">
      <c r="B258" s="144" t="s">
        <v>846</v>
      </c>
      <c r="C258" s="93" t="s">
        <v>847</v>
      </c>
    </row>
    <row r="259" spans="2:3" s="34" customFormat="1" ht="12.75" x14ac:dyDescent="0.2">
      <c r="B259" s="144" t="s">
        <v>848</v>
      </c>
      <c r="C259" s="93" t="s">
        <v>849</v>
      </c>
    </row>
    <row r="260" spans="2:3" s="34" customFormat="1" ht="12.75" x14ac:dyDescent="0.2">
      <c r="B260" s="144" t="s">
        <v>850</v>
      </c>
      <c r="C260" s="93" t="s">
        <v>851</v>
      </c>
    </row>
    <row r="261" spans="2:3" s="34" customFormat="1" ht="12.75" x14ac:dyDescent="0.2">
      <c r="B261" s="144" t="s">
        <v>852</v>
      </c>
      <c r="C261" s="93" t="s">
        <v>853</v>
      </c>
    </row>
    <row r="262" spans="2:3" s="34" customFormat="1" ht="12.75" x14ac:dyDescent="0.2">
      <c r="B262" s="144" t="s">
        <v>854</v>
      </c>
      <c r="C262" s="92" t="s">
        <v>855</v>
      </c>
    </row>
    <row r="263" spans="2:3" s="34" customFormat="1" ht="12.75" x14ac:dyDescent="0.2">
      <c r="B263" s="144" t="s">
        <v>856</v>
      </c>
      <c r="C263" s="93" t="s">
        <v>857</v>
      </c>
    </row>
    <row r="264" spans="2:3" s="34" customFormat="1" ht="12.75" x14ac:dyDescent="0.2">
      <c r="B264" s="144" t="s">
        <v>858</v>
      </c>
      <c r="C264" s="93" t="s">
        <v>859</v>
      </c>
    </row>
    <row r="265" spans="2:3" s="34" customFormat="1" ht="12.75" x14ac:dyDescent="0.2">
      <c r="B265" s="144" t="s">
        <v>860</v>
      </c>
      <c r="C265" s="93" t="s">
        <v>861</v>
      </c>
    </row>
    <row r="266" spans="2:3" s="34" customFormat="1" ht="12.75" x14ac:dyDescent="0.2">
      <c r="B266" s="144" t="s">
        <v>862</v>
      </c>
      <c r="C266" s="93" t="s">
        <v>863</v>
      </c>
    </row>
    <row r="267" spans="2:3" s="34" customFormat="1" ht="12.75" x14ac:dyDescent="0.2">
      <c r="B267" s="144" t="s">
        <v>864</v>
      </c>
      <c r="C267" s="93" t="s">
        <v>865</v>
      </c>
    </row>
    <row r="268" spans="2:3" s="34" customFormat="1" ht="25.5" x14ac:dyDescent="0.2">
      <c r="B268" s="144" t="s">
        <v>866</v>
      </c>
      <c r="C268" s="92" t="s">
        <v>867</v>
      </c>
    </row>
    <row r="269" spans="2:3" s="34" customFormat="1" ht="12.75" x14ac:dyDescent="0.2">
      <c r="B269" s="144" t="s">
        <v>868</v>
      </c>
      <c r="C269" s="93" t="s">
        <v>869</v>
      </c>
    </row>
    <row r="270" spans="2:3" s="34" customFormat="1" ht="12.75" x14ac:dyDescent="0.2">
      <c r="B270" s="144" t="s">
        <v>870</v>
      </c>
      <c r="C270" s="93" t="s">
        <v>871</v>
      </c>
    </row>
    <row r="271" spans="2:3" s="34" customFormat="1" ht="12.75" x14ac:dyDescent="0.2">
      <c r="B271" s="144" t="s">
        <v>872</v>
      </c>
      <c r="C271" s="93" t="s">
        <v>873</v>
      </c>
    </row>
    <row r="272" spans="2:3" ht="12.75" x14ac:dyDescent="0.2">
      <c r="B272" s="144" t="s">
        <v>874</v>
      </c>
      <c r="C272" s="93" t="s">
        <v>875</v>
      </c>
    </row>
    <row r="273" spans="2:3" ht="12.75" x14ac:dyDescent="0.2">
      <c r="B273" s="96" t="s">
        <v>876</v>
      </c>
      <c r="C273" s="97" t="s">
        <v>877</v>
      </c>
    </row>
    <row r="274" spans="2:3" ht="12.75" x14ac:dyDescent="0.2">
      <c r="B274" s="96" t="s">
        <v>878</v>
      </c>
      <c r="C274" s="97" t="s">
        <v>879</v>
      </c>
    </row>
    <row r="275" spans="2:3" ht="12.75" x14ac:dyDescent="0.2">
      <c r="B275" s="96" t="s">
        <v>880</v>
      </c>
      <c r="C275" s="97" t="s">
        <v>881</v>
      </c>
    </row>
    <row r="276" spans="2:3" ht="12.75" x14ac:dyDescent="0.2">
      <c r="B276" s="96" t="s">
        <v>882</v>
      </c>
      <c r="C276" s="97" t="s">
        <v>883</v>
      </c>
    </row>
    <row r="277" spans="2:3" ht="12.75" x14ac:dyDescent="0.2">
      <c r="B277" s="144" t="s">
        <v>884</v>
      </c>
      <c r="C277" s="93" t="s">
        <v>885</v>
      </c>
    </row>
    <row r="278" spans="2:3" ht="12.75" x14ac:dyDescent="0.2">
      <c r="B278" s="144" t="s">
        <v>886</v>
      </c>
      <c r="C278" s="93" t="s">
        <v>887</v>
      </c>
    </row>
    <row r="279" spans="2:3" ht="12.75" x14ac:dyDescent="0.2">
      <c r="B279" s="144" t="s">
        <v>888</v>
      </c>
      <c r="C279" s="94" t="s">
        <v>889</v>
      </c>
    </row>
    <row r="280" spans="2:3" ht="12.75" x14ac:dyDescent="0.2">
      <c r="B280" s="144" t="s">
        <v>890</v>
      </c>
      <c r="C280" s="94" t="s">
        <v>891</v>
      </c>
    </row>
    <row r="281" spans="2:3" ht="12.75" x14ac:dyDescent="0.2">
      <c r="B281" s="144"/>
      <c r="C281" s="93"/>
    </row>
    <row r="282" spans="2:3" ht="12.75" x14ac:dyDescent="0.2">
      <c r="B282" s="143" t="s">
        <v>892</v>
      </c>
      <c r="C282" s="95" t="s">
        <v>893</v>
      </c>
    </row>
    <row r="283" spans="2:3" ht="12.75" x14ac:dyDescent="0.2">
      <c r="B283" s="144" t="s">
        <v>894</v>
      </c>
      <c r="C283" s="92" t="s">
        <v>895</v>
      </c>
    </row>
    <row r="284" spans="2:3" ht="12.75" x14ac:dyDescent="0.2">
      <c r="B284" s="144" t="s">
        <v>896</v>
      </c>
      <c r="C284" s="92" t="s">
        <v>897</v>
      </c>
    </row>
    <row r="285" spans="2:3" ht="12.75" x14ac:dyDescent="0.2">
      <c r="B285" s="144" t="s">
        <v>898</v>
      </c>
      <c r="C285" s="92" t="s">
        <v>899</v>
      </c>
    </row>
    <row r="286" spans="2:3" ht="12.75" x14ac:dyDescent="0.2">
      <c r="B286" s="144" t="s">
        <v>900</v>
      </c>
      <c r="C286" s="92" t="s">
        <v>901</v>
      </c>
    </row>
    <row r="287" spans="2:3" ht="12.75" x14ac:dyDescent="0.2">
      <c r="B287" s="144" t="s">
        <v>902</v>
      </c>
      <c r="C287" s="92" t="s">
        <v>903</v>
      </c>
    </row>
    <row r="288" spans="2:3" ht="12.75" x14ac:dyDescent="0.2">
      <c r="B288" s="144" t="s">
        <v>904</v>
      </c>
      <c r="C288" s="92" t="s">
        <v>905</v>
      </c>
    </row>
    <row r="289" spans="2:3" ht="12.75" x14ac:dyDescent="0.2">
      <c r="B289" s="144" t="s">
        <v>906</v>
      </c>
      <c r="C289" s="92" t="s">
        <v>907</v>
      </c>
    </row>
    <row r="290" spans="2:3" ht="12.75" x14ac:dyDescent="0.2">
      <c r="B290" s="144" t="s">
        <v>908</v>
      </c>
      <c r="C290" s="92" t="s">
        <v>909</v>
      </c>
    </row>
    <row r="291" spans="2:3" ht="12.75" x14ac:dyDescent="0.2">
      <c r="B291" s="144"/>
      <c r="C291" s="92"/>
    </row>
    <row r="292" spans="2:3" ht="12.75" x14ac:dyDescent="0.2">
      <c r="B292" s="143" t="s">
        <v>910</v>
      </c>
      <c r="C292" s="95" t="s">
        <v>911</v>
      </c>
    </row>
    <row r="293" spans="2:3" ht="12.75" x14ac:dyDescent="0.2">
      <c r="B293" s="144" t="s">
        <v>912</v>
      </c>
      <c r="C293" s="93" t="s">
        <v>913</v>
      </c>
    </row>
    <row r="294" spans="2:3" ht="12.75" x14ac:dyDescent="0.2">
      <c r="B294" s="144" t="s">
        <v>914</v>
      </c>
      <c r="C294" s="93" t="s">
        <v>915</v>
      </c>
    </row>
    <row r="295" spans="2:3" ht="12.75" x14ac:dyDescent="0.2">
      <c r="B295" s="144" t="s">
        <v>916</v>
      </c>
      <c r="C295" s="93" t="s">
        <v>917</v>
      </c>
    </row>
    <row r="296" spans="2:3" ht="12.75" x14ac:dyDescent="0.2">
      <c r="B296" s="144" t="s">
        <v>918</v>
      </c>
      <c r="C296" s="94" t="s">
        <v>919</v>
      </c>
    </row>
    <row r="297" spans="2:3" ht="12.75" x14ac:dyDescent="0.2">
      <c r="B297" s="144" t="s">
        <v>920</v>
      </c>
      <c r="C297" s="94" t="s">
        <v>921</v>
      </c>
    </row>
    <row r="298" spans="2:3" ht="12.75" x14ac:dyDescent="0.2">
      <c r="B298" s="144" t="s">
        <v>922</v>
      </c>
      <c r="C298" s="93" t="s">
        <v>923</v>
      </c>
    </row>
    <row r="299" spans="2:3" ht="12.75" x14ac:dyDescent="0.2">
      <c r="B299" s="144" t="s">
        <v>924</v>
      </c>
      <c r="C299" s="92" t="s">
        <v>925</v>
      </c>
    </row>
    <row r="300" spans="2:3" ht="12.75" x14ac:dyDescent="0.2">
      <c r="B300" s="144" t="s">
        <v>926</v>
      </c>
      <c r="C300" s="92" t="s">
        <v>927</v>
      </c>
    </row>
    <row r="301" spans="2:3" ht="12.75" x14ac:dyDescent="0.2">
      <c r="B301" s="144"/>
      <c r="C301" s="92"/>
    </row>
    <row r="302" spans="2:3" ht="12.75" x14ac:dyDescent="0.2">
      <c r="B302" s="143" t="s">
        <v>928</v>
      </c>
      <c r="C302" s="146" t="s">
        <v>929</v>
      </c>
    </row>
    <row r="303" spans="2:3" ht="12.75" x14ac:dyDescent="0.2">
      <c r="B303" s="144" t="s">
        <v>930</v>
      </c>
      <c r="C303" s="93" t="s">
        <v>747</v>
      </c>
    </row>
    <row r="304" spans="2:3" ht="12.75" x14ac:dyDescent="0.2">
      <c r="B304" s="144" t="s">
        <v>931</v>
      </c>
      <c r="C304" s="93" t="s">
        <v>749</v>
      </c>
    </row>
    <row r="305" spans="1:160" ht="12.75" x14ac:dyDescent="0.2">
      <c r="B305" s="144" t="s">
        <v>932</v>
      </c>
      <c r="C305" s="93" t="s">
        <v>933</v>
      </c>
    </row>
    <row r="306" spans="1:160" ht="12.75" x14ac:dyDescent="0.2">
      <c r="B306" s="144" t="s">
        <v>934</v>
      </c>
      <c r="C306" s="94" t="s">
        <v>935</v>
      </c>
    </row>
    <row r="307" spans="1:160" ht="12.75" x14ac:dyDescent="0.2">
      <c r="B307" s="144" t="s">
        <v>936</v>
      </c>
      <c r="C307" s="94" t="s">
        <v>937</v>
      </c>
    </row>
    <row r="308" spans="1:160" ht="15.75" customHeight="1" x14ac:dyDescent="0.2">
      <c r="B308" s="144" t="s">
        <v>938</v>
      </c>
      <c r="C308" s="93" t="s">
        <v>939</v>
      </c>
    </row>
    <row r="309" spans="1:160" ht="14.25" customHeight="1" x14ac:dyDescent="0.2">
      <c r="A309" s="25" t="s">
        <v>740</v>
      </c>
      <c r="B309" s="144" t="s">
        <v>940</v>
      </c>
      <c r="C309" s="92" t="s">
        <v>941</v>
      </c>
    </row>
    <row r="310" spans="1:160" ht="24.75" customHeight="1" x14ac:dyDescent="0.2">
      <c r="A310" s="25"/>
      <c r="B310" s="144" t="s">
        <v>942</v>
      </c>
      <c r="C310" s="92" t="s">
        <v>943</v>
      </c>
      <c r="FD310" s="135"/>
    </row>
    <row r="311" spans="1:160" ht="12.75" x14ac:dyDescent="0.2">
      <c r="B311" s="147" t="s">
        <v>944</v>
      </c>
      <c r="C311" s="146" t="s">
        <v>945</v>
      </c>
    </row>
    <row r="312" spans="1:160" ht="12.75" x14ac:dyDescent="0.2">
      <c r="B312" s="147" t="s">
        <v>946</v>
      </c>
      <c r="C312" s="148" t="s">
        <v>947</v>
      </c>
    </row>
    <row r="313" spans="1:160" ht="12.75" x14ac:dyDescent="0.2">
      <c r="B313" s="147" t="s">
        <v>246</v>
      </c>
      <c r="C313" s="148" t="s">
        <v>948</v>
      </c>
    </row>
    <row r="314" spans="1:160" s="34" customFormat="1" ht="12.75" x14ac:dyDescent="0.2">
      <c r="B314" s="147" t="s">
        <v>949</v>
      </c>
      <c r="C314" s="148" t="s">
        <v>950</v>
      </c>
    </row>
    <row r="315" spans="1:160" s="34" customFormat="1" ht="12.75" x14ac:dyDescent="0.2">
      <c r="B315" s="147" t="s">
        <v>951</v>
      </c>
      <c r="C315" s="148" t="s">
        <v>952</v>
      </c>
    </row>
    <row r="316" spans="1:160" s="34" customFormat="1" ht="12.75" x14ac:dyDescent="0.2">
      <c r="B316" s="144" t="s">
        <v>953</v>
      </c>
      <c r="C316" s="93" t="s">
        <v>954</v>
      </c>
    </row>
    <row r="317" spans="1:160" s="34" customFormat="1" ht="12.75" x14ac:dyDescent="0.2">
      <c r="B317" s="144" t="s">
        <v>955</v>
      </c>
      <c r="C317" s="93" t="s">
        <v>956</v>
      </c>
    </row>
    <row r="318" spans="1:160" s="34" customFormat="1" ht="13.5" thickBot="1" x14ac:dyDescent="0.25">
      <c r="B318" s="144"/>
      <c r="C318" s="92"/>
    </row>
    <row r="319" spans="1:160" s="34" customFormat="1" ht="15.75" customHeight="1" thickBot="1" x14ac:dyDescent="0.3">
      <c r="B319" s="852" t="s">
        <v>741</v>
      </c>
      <c r="C319" s="853"/>
    </row>
    <row r="320" spans="1:160" s="34" customFormat="1" ht="13.5" customHeight="1" thickBot="1" x14ac:dyDescent="0.3">
      <c r="B320" s="852" t="s">
        <v>742</v>
      </c>
      <c r="C320" s="853" t="s">
        <v>743</v>
      </c>
    </row>
    <row r="321" spans="2:3" s="34" customFormat="1" ht="24" thickBot="1" x14ac:dyDescent="0.3">
      <c r="B321" s="137" t="str">
        <f>+$B$11</f>
        <v>Código ID Partida</v>
      </c>
      <c r="C321" s="138" t="str">
        <f>+$C$11</f>
        <v>Descripción</v>
      </c>
    </row>
    <row r="322" spans="2:3" ht="12.75" x14ac:dyDescent="0.2">
      <c r="B322" s="144"/>
      <c r="C322" s="93"/>
    </row>
    <row r="323" spans="2:3" ht="12.75" x14ac:dyDescent="0.2">
      <c r="B323" s="143" t="s">
        <v>957</v>
      </c>
      <c r="C323" s="95" t="s">
        <v>958</v>
      </c>
    </row>
    <row r="324" spans="2:3" ht="12.75" x14ac:dyDescent="0.2">
      <c r="B324" s="144" t="s">
        <v>959</v>
      </c>
      <c r="C324" s="94" t="s">
        <v>960</v>
      </c>
    </row>
    <row r="325" spans="2:3" ht="12.75" x14ac:dyDescent="0.2">
      <c r="B325" s="144" t="s">
        <v>961</v>
      </c>
      <c r="C325" s="94" t="s">
        <v>962</v>
      </c>
    </row>
    <row r="326" spans="2:3" ht="12.75" x14ac:dyDescent="0.2">
      <c r="B326" s="144" t="s">
        <v>963</v>
      </c>
      <c r="C326" s="94" t="s">
        <v>964</v>
      </c>
    </row>
    <row r="327" spans="2:3" ht="12.75" x14ac:dyDescent="0.2">
      <c r="B327" s="144" t="s">
        <v>965</v>
      </c>
      <c r="C327" s="94" t="s">
        <v>966</v>
      </c>
    </row>
    <row r="328" spans="2:3" ht="12.75" x14ac:dyDescent="0.2">
      <c r="B328" s="144" t="s">
        <v>967</v>
      </c>
      <c r="C328" s="94" t="s">
        <v>968</v>
      </c>
    </row>
    <row r="329" spans="2:3" ht="12.75" x14ac:dyDescent="0.2">
      <c r="B329" s="144" t="s">
        <v>969</v>
      </c>
      <c r="C329" s="94" t="s">
        <v>970</v>
      </c>
    </row>
    <row r="330" spans="2:3" ht="12.75" x14ac:dyDescent="0.2">
      <c r="B330" s="144" t="s">
        <v>971</v>
      </c>
      <c r="C330" s="94" t="s">
        <v>972</v>
      </c>
    </row>
    <row r="331" spans="2:3" ht="12.75" x14ac:dyDescent="0.2">
      <c r="B331" s="144" t="s">
        <v>973</v>
      </c>
      <c r="C331" s="94" t="s">
        <v>974</v>
      </c>
    </row>
    <row r="332" spans="2:3" ht="12.75" x14ac:dyDescent="0.2">
      <c r="B332" s="144"/>
      <c r="C332" s="93"/>
    </row>
    <row r="333" spans="2:3" ht="12.75" x14ac:dyDescent="0.2">
      <c r="B333" s="143" t="s">
        <v>975</v>
      </c>
      <c r="C333" s="95" t="s">
        <v>976</v>
      </c>
    </row>
    <row r="334" spans="2:3" ht="12.75" x14ac:dyDescent="0.2">
      <c r="B334" s="144" t="s">
        <v>977</v>
      </c>
      <c r="C334" s="92" t="s">
        <v>978</v>
      </c>
    </row>
    <row r="335" spans="2:3" ht="12.75" x14ac:dyDescent="0.2">
      <c r="B335" s="144" t="s">
        <v>979</v>
      </c>
      <c r="C335" s="92" t="s">
        <v>980</v>
      </c>
    </row>
    <row r="336" spans="2:3" ht="12.75" x14ac:dyDescent="0.2">
      <c r="B336" s="144" t="s">
        <v>981</v>
      </c>
      <c r="C336" s="92" t="s">
        <v>982</v>
      </c>
    </row>
    <row r="337" spans="2:3" ht="12.75" x14ac:dyDescent="0.2">
      <c r="B337" s="144" t="s">
        <v>983</v>
      </c>
      <c r="C337" s="92" t="s">
        <v>984</v>
      </c>
    </row>
    <row r="338" spans="2:3" ht="12.75" x14ac:dyDescent="0.2">
      <c r="B338" s="144" t="s">
        <v>985</v>
      </c>
      <c r="C338" s="92" t="s">
        <v>986</v>
      </c>
    </row>
    <row r="339" spans="2:3" ht="12.75" x14ac:dyDescent="0.2">
      <c r="B339" s="144" t="s">
        <v>987</v>
      </c>
      <c r="C339" s="92" t="s">
        <v>988</v>
      </c>
    </row>
    <row r="340" spans="2:3" ht="12.75" x14ac:dyDescent="0.2">
      <c r="B340" s="144" t="s">
        <v>989</v>
      </c>
      <c r="C340" s="92" t="s">
        <v>990</v>
      </c>
    </row>
    <row r="341" spans="2:3" ht="12.75" x14ac:dyDescent="0.2">
      <c r="B341" s="144" t="s">
        <v>991</v>
      </c>
      <c r="C341" s="92" t="s">
        <v>992</v>
      </c>
    </row>
    <row r="342" spans="2:3" ht="12.75" x14ac:dyDescent="0.2">
      <c r="B342" s="144" t="s">
        <v>993</v>
      </c>
      <c r="C342" s="92" t="s">
        <v>994</v>
      </c>
    </row>
    <row r="343" spans="2:3" ht="12.75" x14ac:dyDescent="0.2">
      <c r="B343" s="144" t="s">
        <v>995</v>
      </c>
      <c r="C343" s="92" t="s">
        <v>996</v>
      </c>
    </row>
    <row r="344" spans="2:3" ht="12.75" x14ac:dyDescent="0.2">
      <c r="B344" s="144" t="s">
        <v>997</v>
      </c>
      <c r="C344" s="92" t="s">
        <v>998</v>
      </c>
    </row>
    <row r="345" spans="2:3" ht="12.75" x14ac:dyDescent="0.2">
      <c r="B345" s="144" t="s">
        <v>999</v>
      </c>
      <c r="C345" s="92" t="s">
        <v>1000</v>
      </c>
    </row>
    <row r="346" spans="2:3" ht="12.75" x14ac:dyDescent="0.2">
      <c r="B346" s="144" t="s">
        <v>1001</v>
      </c>
      <c r="C346" s="92" t="s">
        <v>1002</v>
      </c>
    </row>
    <row r="347" spans="2:3" ht="12.75" x14ac:dyDescent="0.2">
      <c r="B347" s="144" t="s">
        <v>1003</v>
      </c>
      <c r="C347" s="92" t="s">
        <v>1004</v>
      </c>
    </row>
    <row r="348" spans="2:3" ht="12.75" x14ac:dyDescent="0.2">
      <c r="B348" s="144" t="s">
        <v>1005</v>
      </c>
      <c r="C348" s="92" t="s">
        <v>1006</v>
      </c>
    </row>
    <row r="349" spans="2:3" s="34" customFormat="1" ht="12.75" x14ac:dyDescent="0.2">
      <c r="B349" s="144"/>
      <c r="C349" s="93"/>
    </row>
    <row r="350" spans="2:3" s="34" customFormat="1" ht="12.75" x14ac:dyDescent="0.2">
      <c r="B350" s="143" t="s">
        <v>1007</v>
      </c>
      <c r="C350" s="95" t="s">
        <v>1008</v>
      </c>
    </row>
    <row r="351" spans="2:3" s="34" customFormat="1" ht="12.75" x14ac:dyDescent="0.2">
      <c r="B351" s="144" t="s">
        <v>1009</v>
      </c>
      <c r="C351" s="93" t="s">
        <v>1010</v>
      </c>
    </row>
    <row r="352" spans="2:3" s="34" customFormat="1" ht="12.75" x14ac:dyDescent="0.2">
      <c r="B352" s="144" t="s">
        <v>1011</v>
      </c>
      <c r="C352" s="93" t="s">
        <v>1012</v>
      </c>
    </row>
    <row r="353" spans="2:3" ht="12.75" x14ac:dyDescent="0.2">
      <c r="B353" s="144" t="s">
        <v>1013</v>
      </c>
      <c r="C353" s="93" t="s">
        <v>1014</v>
      </c>
    </row>
    <row r="354" spans="2:3" ht="12.75" x14ac:dyDescent="0.2">
      <c r="B354" s="144" t="s">
        <v>1015</v>
      </c>
      <c r="C354" s="93" t="s">
        <v>1016</v>
      </c>
    </row>
    <row r="355" spans="2:3" ht="12.75" x14ac:dyDescent="0.2">
      <c r="B355" s="144" t="s">
        <v>1017</v>
      </c>
      <c r="C355" s="93" t="s">
        <v>1018</v>
      </c>
    </row>
    <row r="356" spans="2:3" ht="12.75" x14ac:dyDescent="0.2">
      <c r="B356" s="144" t="s">
        <v>1019</v>
      </c>
      <c r="C356" s="93" t="s">
        <v>1020</v>
      </c>
    </row>
    <row r="357" spans="2:3" ht="12.75" x14ac:dyDescent="0.2">
      <c r="B357" s="144" t="s">
        <v>1021</v>
      </c>
      <c r="C357" s="93" t="s">
        <v>1022</v>
      </c>
    </row>
    <row r="358" spans="2:3" ht="12.75" x14ac:dyDescent="0.2">
      <c r="B358" s="144" t="s">
        <v>1023</v>
      </c>
      <c r="C358" s="93" t="s">
        <v>1024</v>
      </c>
    </row>
    <row r="359" spans="2:3" ht="12.75" x14ac:dyDescent="0.2">
      <c r="B359" s="144" t="s">
        <v>1025</v>
      </c>
      <c r="C359" s="93" t="s">
        <v>1026</v>
      </c>
    </row>
    <row r="360" spans="2:3" ht="12.75" x14ac:dyDescent="0.2">
      <c r="B360" s="91" t="s">
        <v>1027</v>
      </c>
      <c r="C360" s="93" t="s">
        <v>1028</v>
      </c>
    </row>
    <row r="361" spans="2:3" ht="12.75" x14ac:dyDescent="0.2">
      <c r="B361" s="91" t="s">
        <v>1029</v>
      </c>
      <c r="C361" s="93" t="s">
        <v>1030</v>
      </c>
    </row>
    <row r="362" spans="2:3" ht="12.75" x14ac:dyDescent="0.2">
      <c r="B362" s="91" t="s">
        <v>1031</v>
      </c>
      <c r="C362" s="93" t="s">
        <v>1032</v>
      </c>
    </row>
    <row r="363" spans="2:3" ht="12.75" x14ac:dyDescent="0.2">
      <c r="B363" s="91" t="s">
        <v>1033</v>
      </c>
      <c r="C363" s="93" t="s">
        <v>1034</v>
      </c>
    </row>
    <row r="364" spans="2:3" ht="12.75" x14ac:dyDescent="0.2">
      <c r="B364" s="144"/>
      <c r="C364" s="93"/>
    </row>
    <row r="365" spans="2:3" ht="12.75" x14ac:dyDescent="0.2">
      <c r="B365" s="143" t="s">
        <v>1035</v>
      </c>
      <c r="C365" s="95" t="s">
        <v>1036</v>
      </c>
    </row>
    <row r="366" spans="2:3" ht="12.75" x14ac:dyDescent="0.2">
      <c r="B366" s="144" t="s">
        <v>1037</v>
      </c>
      <c r="C366" s="93" t="s">
        <v>1038</v>
      </c>
    </row>
    <row r="367" spans="2:3" ht="12.75" x14ac:dyDescent="0.2">
      <c r="B367" s="144" t="s">
        <v>1039</v>
      </c>
      <c r="C367" s="93" t="s">
        <v>1040</v>
      </c>
    </row>
    <row r="368" spans="2:3" ht="12.75" x14ac:dyDescent="0.2">
      <c r="B368" s="144" t="s">
        <v>1041</v>
      </c>
      <c r="C368" s="93" t="s">
        <v>1042</v>
      </c>
    </row>
    <row r="369" spans="1:160" ht="12.75" x14ac:dyDescent="0.2">
      <c r="B369" s="144" t="s">
        <v>1043</v>
      </c>
      <c r="C369" s="93" t="s">
        <v>1044</v>
      </c>
    </row>
    <row r="370" spans="1:160" ht="12.75" x14ac:dyDescent="0.2">
      <c r="B370" s="144" t="s">
        <v>1045</v>
      </c>
      <c r="C370" s="93" t="s">
        <v>1046</v>
      </c>
    </row>
    <row r="371" spans="1:160" ht="12.75" x14ac:dyDescent="0.2">
      <c r="B371" s="144" t="s">
        <v>1047</v>
      </c>
      <c r="C371" s="93" t="s">
        <v>1048</v>
      </c>
    </row>
    <row r="372" spans="1:160" ht="12.75" x14ac:dyDescent="0.2">
      <c r="B372" s="144"/>
      <c r="C372" s="93"/>
    </row>
    <row r="373" spans="1:160" ht="15.75" customHeight="1" x14ac:dyDescent="0.2">
      <c r="B373" s="143" t="s">
        <v>1049</v>
      </c>
      <c r="C373" s="95" t="s">
        <v>1050</v>
      </c>
    </row>
    <row r="374" spans="1:160" ht="13.5" customHeight="1" x14ac:dyDescent="0.2">
      <c r="B374" s="144" t="s">
        <v>1051</v>
      </c>
      <c r="C374" s="93" t="s">
        <v>1052</v>
      </c>
    </row>
    <row r="375" spans="1:160" ht="24.75" customHeight="1" x14ac:dyDescent="0.2">
      <c r="A375" s="25"/>
      <c r="B375" s="144" t="s">
        <v>1053</v>
      </c>
      <c r="C375" s="93" t="s">
        <v>1054</v>
      </c>
      <c r="FD375" s="135"/>
    </row>
    <row r="376" spans="1:160" ht="12.75" x14ac:dyDescent="0.2">
      <c r="B376" s="144" t="s">
        <v>1055</v>
      </c>
      <c r="C376" s="93" t="s">
        <v>1056</v>
      </c>
    </row>
    <row r="377" spans="1:160" ht="12.75" x14ac:dyDescent="0.2">
      <c r="B377" s="144" t="s">
        <v>1057</v>
      </c>
      <c r="C377" s="93" t="s">
        <v>1058</v>
      </c>
    </row>
    <row r="378" spans="1:160" ht="12.75" x14ac:dyDescent="0.2">
      <c r="B378" s="144" t="s">
        <v>1059</v>
      </c>
      <c r="C378" s="93" t="s">
        <v>1060</v>
      </c>
    </row>
    <row r="379" spans="1:160" ht="12.75" x14ac:dyDescent="0.2">
      <c r="B379" s="144" t="s">
        <v>1061</v>
      </c>
      <c r="C379" s="93" t="s">
        <v>1062</v>
      </c>
    </row>
    <row r="380" spans="1:160" ht="12.75" x14ac:dyDescent="0.2">
      <c r="B380" s="144" t="s">
        <v>1063</v>
      </c>
      <c r="C380" s="93" t="s">
        <v>1064</v>
      </c>
    </row>
    <row r="381" spans="1:160" ht="12.75" x14ac:dyDescent="0.2">
      <c r="B381" s="144" t="s">
        <v>1065</v>
      </c>
      <c r="C381" s="93" t="s">
        <v>1066</v>
      </c>
    </row>
    <row r="382" spans="1:160" ht="12.75" x14ac:dyDescent="0.2">
      <c r="B382" s="144"/>
      <c r="C382" s="93"/>
    </row>
    <row r="383" spans="1:160" ht="15.75" customHeight="1" thickBot="1" x14ac:dyDescent="0.25">
      <c r="B383" s="144"/>
      <c r="C383" s="93"/>
    </row>
    <row r="384" spans="1:160" ht="15.75" customHeight="1" thickBot="1" x14ac:dyDescent="0.3">
      <c r="B384" s="852" t="s">
        <v>741</v>
      </c>
      <c r="C384" s="853"/>
    </row>
    <row r="385" spans="2:3" ht="13.5" customHeight="1" thickBot="1" x14ac:dyDescent="0.3">
      <c r="B385" s="852" t="s">
        <v>742</v>
      </c>
      <c r="C385" s="853" t="s">
        <v>743</v>
      </c>
    </row>
    <row r="386" spans="2:3" ht="24" thickBot="1" x14ac:dyDescent="0.3">
      <c r="B386" s="137" t="str">
        <f>+$B$11</f>
        <v>Código ID Partida</v>
      </c>
      <c r="C386" s="138" t="str">
        <f>+$C$11</f>
        <v>Descripción</v>
      </c>
    </row>
    <row r="387" spans="2:3" ht="12.75" x14ac:dyDescent="0.2">
      <c r="B387" s="144"/>
      <c r="C387" s="93"/>
    </row>
    <row r="388" spans="2:3" ht="12.75" x14ac:dyDescent="0.2">
      <c r="B388" s="143" t="s">
        <v>1067</v>
      </c>
      <c r="C388" s="95" t="s">
        <v>1068</v>
      </c>
    </row>
    <row r="389" spans="2:3" ht="12.75" x14ac:dyDescent="0.2">
      <c r="B389" s="144" t="s">
        <v>1069</v>
      </c>
      <c r="C389" s="93" t="s">
        <v>1070</v>
      </c>
    </row>
    <row r="390" spans="2:3" ht="12.75" x14ac:dyDescent="0.2">
      <c r="B390" s="144" t="s">
        <v>1071</v>
      </c>
      <c r="C390" s="93" t="s">
        <v>1072</v>
      </c>
    </row>
    <row r="391" spans="2:3" ht="12.75" x14ac:dyDescent="0.2">
      <c r="B391" s="144" t="s">
        <v>1073</v>
      </c>
      <c r="C391" s="93" t="s">
        <v>1074</v>
      </c>
    </row>
    <row r="392" spans="2:3" ht="12.75" x14ac:dyDescent="0.2">
      <c r="B392" s="144" t="s">
        <v>1075</v>
      </c>
      <c r="C392" s="93" t="s">
        <v>1076</v>
      </c>
    </row>
    <row r="393" spans="2:3" ht="12.75" x14ac:dyDescent="0.2">
      <c r="B393" s="144" t="s">
        <v>1077</v>
      </c>
      <c r="C393" s="93" t="s">
        <v>1078</v>
      </c>
    </row>
    <row r="394" spans="2:3" ht="12.75" x14ac:dyDescent="0.2">
      <c r="B394" s="144" t="s">
        <v>1079</v>
      </c>
      <c r="C394" s="93" t="s">
        <v>575</v>
      </c>
    </row>
    <row r="395" spans="2:3" ht="12.75" x14ac:dyDescent="0.2">
      <c r="B395" s="144"/>
      <c r="C395" s="93"/>
    </row>
    <row r="396" spans="2:3" ht="12.75" x14ac:dyDescent="0.2">
      <c r="B396" s="143" t="s">
        <v>1080</v>
      </c>
      <c r="C396" s="95" t="s">
        <v>1081</v>
      </c>
    </row>
    <row r="397" spans="2:3" ht="12.75" x14ac:dyDescent="0.2">
      <c r="B397" s="144" t="s">
        <v>248</v>
      </c>
      <c r="C397" s="92" t="s">
        <v>1082</v>
      </c>
    </row>
    <row r="398" spans="2:3" ht="12.75" x14ac:dyDescent="0.2">
      <c r="B398" s="144" t="s">
        <v>1083</v>
      </c>
      <c r="C398" s="92" t="s">
        <v>1084</v>
      </c>
    </row>
    <row r="399" spans="2:3" ht="12.75" x14ac:dyDescent="0.2">
      <c r="B399" s="144" t="s">
        <v>245</v>
      </c>
      <c r="C399" s="92" t="s">
        <v>1085</v>
      </c>
    </row>
    <row r="400" spans="2:3" ht="12.75" x14ac:dyDescent="0.2">
      <c r="B400" s="144"/>
      <c r="C400" s="92"/>
    </row>
    <row r="401" spans="2:3" ht="12.75" x14ac:dyDescent="0.2">
      <c r="B401" s="143" t="s">
        <v>1086</v>
      </c>
      <c r="C401" s="95" t="s">
        <v>1087</v>
      </c>
    </row>
    <row r="402" spans="2:3" ht="12.75" x14ac:dyDescent="0.2">
      <c r="B402" s="144" t="s">
        <v>1088</v>
      </c>
      <c r="C402" s="93" t="s">
        <v>1089</v>
      </c>
    </row>
    <row r="403" spans="2:3" ht="12.75" x14ac:dyDescent="0.2">
      <c r="B403" s="144" t="s">
        <v>1090</v>
      </c>
      <c r="C403" s="93" t="s">
        <v>1091</v>
      </c>
    </row>
    <row r="404" spans="2:3" ht="12.75" x14ac:dyDescent="0.2">
      <c r="B404" s="144" t="s">
        <v>1092</v>
      </c>
      <c r="C404" s="93" t="s">
        <v>1093</v>
      </c>
    </row>
    <row r="405" spans="2:3" ht="12.75" x14ac:dyDescent="0.2">
      <c r="B405" s="144" t="s">
        <v>1094</v>
      </c>
      <c r="C405" s="93" t="s">
        <v>1095</v>
      </c>
    </row>
    <row r="406" spans="2:3" ht="12.75" x14ac:dyDescent="0.2">
      <c r="B406" s="144" t="s">
        <v>1096</v>
      </c>
      <c r="C406" s="93" t="s">
        <v>1097</v>
      </c>
    </row>
    <row r="407" spans="2:3" ht="12.75" x14ac:dyDescent="0.2">
      <c r="B407" s="144" t="s">
        <v>1098</v>
      </c>
      <c r="C407" s="93" t="s">
        <v>1099</v>
      </c>
    </row>
    <row r="408" spans="2:3" ht="12.75" x14ac:dyDescent="0.2">
      <c r="B408" s="144" t="s">
        <v>1100</v>
      </c>
      <c r="C408" s="93" t="s">
        <v>1101</v>
      </c>
    </row>
    <row r="409" spans="2:3" ht="12.75" x14ac:dyDescent="0.2">
      <c r="B409" s="144" t="s">
        <v>1102</v>
      </c>
      <c r="C409" s="93" t="s">
        <v>1103</v>
      </c>
    </row>
    <row r="410" spans="2:3" ht="12.75" x14ac:dyDescent="0.2">
      <c r="B410" s="144"/>
      <c r="C410" s="94"/>
    </row>
    <row r="411" spans="2:3" ht="12.75" x14ac:dyDescent="0.2">
      <c r="B411" s="143" t="s">
        <v>1104</v>
      </c>
      <c r="C411" s="95" t="s">
        <v>1105</v>
      </c>
    </row>
    <row r="412" spans="2:3" ht="12.75" x14ac:dyDescent="0.2">
      <c r="B412" s="144" t="s">
        <v>1106</v>
      </c>
      <c r="C412" s="93" t="s">
        <v>1107</v>
      </c>
    </row>
    <row r="413" spans="2:3" ht="12.75" x14ac:dyDescent="0.2">
      <c r="B413" s="144" t="s">
        <v>1108</v>
      </c>
      <c r="C413" s="93" t="s">
        <v>1109</v>
      </c>
    </row>
    <row r="414" spans="2:3" ht="12.75" x14ac:dyDescent="0.2">
      <c r="B414" s="144" t="s">
        <v>1110</v>
      </c>
      <c r="C414" s="93" t="s">
        <v>1111</v>
      </c>
    </row>
    <row r="415" spans="2:3" ht="12.75" x14ac:dyDescent="0.2">
      <c r="B415" s="144" t="s">
        <v>1112</v>
      </c>
      <c r="C415" s="93" t="s">
        <v>1113</v>
      </c>
    </row>
    <row r="416" spans="2:3" ht="12.75" x14ac:dyDescent="0.2">
      <c r="B416" s="144" t="s">
        <v>1114</v>
      </c>
      <c r="C416" s="93" t="s">
        <v>1115</v>
      </c>
    </row>
    <row r="417" spans="2:3" ht="12.75" x14ac:dyDescent="0.2">
      <c r="B417" s="144" t="s">
        <v>1116</v>
      </c>
      <c r="C417" s="93" t="s">
        <v>1117</v>
      </c>
    </row>
    <row r="418" spans="2:3" ht="12.75" x14ac:dyDescent="0.2">
      <c r="B418" s="144" t="s">
        <v>1118</v>
      </c>
      <c r="C418" s="93" t="s">
        <v>1119</v>
      </c>
    </row>
    <row r="419" spans="2:3" ht="12.75" x14ac:dyDescent="0.2">
      <c r="B419" s="144" t="s">
        <v>1120</v>
      </c>
      <c r="C419" s="93" t="s">
        <v>1121</v>
      </c>
    </row>
    <row r="420" spans="2:3" ht="12.75" x14ac:dyDescent="0.2">
      <c r="B420" s="144" t="s">
        <v>1122</v>
      </c>
      <c r="C420" s="93" t="s">
        <v>1123</v>
      </c>
    </row>
    <row r="421" spans="2:3" ht="12.75" x14ac:dyDescent="0.2">
      <c r="B421" s="144" t="s">
        <v>1124</v>
      </c>
      <c r="C421" s="93" t="s">
        <v>1125</v>
      </c>
    </row>
    <row r="422" spans="2:3" ht="12.75" x14ac:dyDescent="0.2">
      <c r="B422" s="144" t="s">
        <v>1126</v>
      </c>
      <c r="C422" s="93" t="s">
        <v>1127</v>
      </c>
    </row>
    <row r="423" spans="2:3" ht="12.75" x14ac:dyDescent="0.2">
      <c r="B423" s="144" t="s">
        <v>1128</v>
      </c>
      <c r="C423" s="93" t="s">
        <v>1129</v>
      </c>
    </row>
    <row r="424" spans="2:3" ht="12.75" x14ac:dyDescent="0.2">
      <c r="B424" s="144"/>
      <c r="C424" s="93"/>
    </row>
    <row r="425" spans="2:3" ht="12.75" x14ac:dyDescent="0.2">
      <c r="B425" s="143" t="s">
        <v>1130</v>
      </c>
      <c r="C425" s="95" t="s">
        <v>1131</v>
      </c>
    </row>
    <row r="426" spans="2:3" s="34" customFormat="1" ht="12.75" x14ac:dyDescent="0.2">
      <c r="B426" s="144" t="s">
        <v>1132</v>
      </c>
      <c r="C426" s="93" t="s">
        <v>1133</v>
      </c>
    </row>
    <row r="427" spans="2:3" s="34" customFormat="1" ht="12.75" x14ac:dyDescent="0.2">
      <c r="B427" s="144" t="s">
        <v>1134</v>
      </c>
      <c r="C427" s="93" t="s">
        <v>1135</v>
      </c>
    </row>
    <row r="428" spans="2:3" s="34" customFormat="1" ht="12.75" x14ac:dyDescent="0.2">
      <c r="B428" s="144" t="s">
        <v>1136</v>
      </c>
      <c r="C428" s="93" t="s">
        <v>1137</v>
      </c>
    </row>
    <row r="429" spans="2:3" s="34" customFormat="1" ht="12.75" x14ac:dyDescent="0.2">
      <c r="B429" s="144"/>
      <c r="C429" s="93"/>
    </row>
    <row r="430" spans="2:3" s="34" customFormat="1" ht="12.75" x14ac:dyDescent="0.2">
      <c r="B430" s="144"/>
      <c r="C430" s="93"/>
    </row>
    <row r="431" spans="2:3" s="34" customFormat="1" ht="12.75" x14ac:dyDescent="0.2">
      <c r="B431" s="143" t="s">
        <v>1138</v>
      </c>
      <c r="C431" s="95" t="s">
        <v>1139</v>
      </c>
    </row>
    <row r="432" spans="2:3" ht="12.75" x14ac:dyDescent="0.2">
      <c r="B432" s="144" t="s">
        <v>1140</v>
      </c>
      <c r="C432" s="93" t="s">
        <v>1141</v>
      </c>
    </row>
    <row r="433" spans="2:3" ht="12.75" x14ac:dyDescent="0.2">
      <c r="B433" s="144" t="s">
        <v>1142</v>
      </c>
      <c r="C433" s="93" t="s">
        <v>1143</v>
      </c>
    </row>
    <row r="434" spans="2:3" ht="12.75" x14ac:dyDescent="0.2">
      <c r="B434" s="144" t="s">
        <v>1144</v>
      </c>
      <c r="C434" s="93" t="s">
        <v>1145</v>
      </c>
    </row>
    <row r="435" spans="2:3" ht="12.75" x14ac:dyDescent="0.2">
      <c r="B435" s="144" t="s">
        <v>1146</v>
      </c>
      <c r="C435" s="93" t="s">
        <v>1147</v>
      </c>
    </row>
    <row r="436" spans="2:3" ht="12.75" x14ac:dyDescent="0.2">
      <c r="B436" s="144" t="s">
        <v>1148</v>
      </c>
      <c r="C436" s="93" t="s">
        <v>1149</v>
      </c>
    </row>
    <row r="437" spans="2:3" ht="12.75" x14ac:dyDescent="0.2">
      <c r="B437" s="144" t="s">
        <v>1150</v>
      </c>
      <c r="C437" s="93" t="s">
        <v>1151</v>
      </c>
    </row>
    <row r="438" spans="2:3" ht="12.75" x14ac:dyDescent="0.2">
      <c r="B438" s="96" t="s">
        <v>1152</v>
      </c>
      <c r="C438" s="97" t="s">
        <v>1153</v>
      </c>
    </row>
    <row r="439" spans="2:3" ht="12.75" x14ac:dyDescent="0.2">
      <c r="B439" s="96" t="s">
        <v>1154</v>
      </c>
      <c r="C439" s="97" t="s">
        <v>1155</v>
      </c>
    </row>
    <row r="440" spans="2:3" ht="12.75" x14ac:dyDescent="0.2">
      <c r="B440" s="96" t="s">
        <v>1156</v>
      </c>
      <c r="C440" s="97" t="s">
        <v>1157</v>
      </c>
    </row>
    <row r="441" spans="2:3" ht="12.75" x14ac:dyDescent="0.2">
      <c r="B441" s="96" t="s">
        <v>1158</v>
      </c>
      <c r="C441" s="97" t="s">
        <v>1159</v>
      </c>
    </row>
    <row r="442" spans="2:3" ht="12.75" hidden="1" customHeight="1" x14ac:dyDescent="0.2">
      <c r="B442" s="96" t="s">
        <v>1160</v>
      </c>
      <c r="C442" s="97" t="s">
        <v>1161</v>
      </c>
    </row>
    <row r="443" spans="2:3" ht="12.75" x14ac:dyDescent="0.2">
      <c r="B443" s="96" t="s">
        <v>1162</v>
      </c>
      <c r="C443" s="97" t="s">
        <v>131</v>
      </c>
    </row>
    <row r="444" spans="2:3" ht="12.75" x14ac:dyDescent="0.2">
      <c r="B444" s="96" t="s">
        <v>1163</v>
      </c>
      <c r="C444" s="97" t="s">
        <v>1164</v>
      </c>
    </row>
    <row r="445" spans="2:3" ht="12.75" x14ac:dyDescent="0.2">
      <c r="B445" s="144" t="s">
        <v>1165</v>
      </c>
      <c r="C445" s="93" t="s">
        <v>1166</v>
      </c>
    </row>
    <row r="446" spans="2:3" ht="12.75" x14ac:dyDescent="0.2">
      <c r="B446" s="144" t="s">
        <v>1167</v>
      </c>
      <c r="C446" s="93" t="s">
        <v>1168</v>
      </c>
    </row>
    <row r="447" spans="2:3" ht="12.75" x14ac:dyDescent="0.2">
      <c r="B447" s="144"/>
      <c r="C447" s="93"/>
    </row>
    <row r="448" spans="2:3" ht="12.75" x14ac:dyDescent="0.2">
      <c r="B448" s="143" t="s">
        <v>1169</v>
      </c>
      <c r="C448" s="95" t="s">
        <v>1170</v>
      </c>
    </row>
    <row r="449" spans="2:3" ht="12.75" x14ac:dyDescent="0.2">
      <c r="B449" s="144" t="s">
        <v>1171</v>
      </c>
      <c r="C449" s="94" t="s">
        <v>1172</v>
      </c>
    </row>
    <row r="450" spans="2:3" ht="12.75" x14ac:dyDescent="0.2">
      <c r="B450" s="144" t="s">
        <v>1173</v>
      </c>
      <c r="C450" s="94" t="s">
        <v>1174</v>
      </c>
    </row>
    <row r="451" spans="2:3" ht="12.75" x14ac:dyDescent="0.2">
      <c r="B451" s="144" t="s">
        <v>1175</v>
      </c>
      <c r="C451" s="94" t="s">
        <v>1176</v>
      </c>
    </row>
    <row r="452" spans="2:3" ht="12.75" x14ac:dyDescent="0.2">
      <c r="B452" s="144" t="s">
        <v>1177</v>
      </c>
      <c r="C452" s="94" t="s">
        <v>1178</v>
      </c>
    </row>
    <row r="453" spans="2:3" ht="12.75" x14ac:dyDescent="0.2">
      <c r="B453" s="96" t="s">
        <v>1179</v>
      </c>
      <c r="C453" s="149" t="s">
        <v>1180</v>
      </c>
    </row>
    <row r="454" spans="2:3" ht="12.75" x14ac:dyDescent="0.2">
      <c r="B454" s="144" t="s">
        <v>1181</v>
      </c>
      <c r="C454" s="94" t="s">
        <v>1182</v>
      </c>
    </row>
    <row r="455" spans="2:3" ht="12.75" x14ac:dyDescent="0.2">
      <c r="B455" s="144" t="s">
        <v>1183</v>
      </c>
      <c r="C455" s="94" t="s">
        <v>1184</v>
      </c>
    </row>
    <row r="456" spans="2:3" ht="12.75" x14ac:dyDescent="0.2">
      <c r="B456" s="144" t="s">
        <v>1185</v>
      </c>
      <c r="C456" s="94" t="s">
        <v>1186</v>
      </c>
    </row>
    <row r="457" spans="2:3" ht="12.75" x14ac:dyDescent="0.2">
      <c r="B457" s="96" t="s">
        <v>1187</v>
      </c>
      <c r="C457" s="149" t="s">
        <v>1188</v>
      </c>
    </row>
    <row r="458" spans="2:3" ht="12.75" x14ac:dyDescent="0.2">
      <c r="B458" s="96" t="s">
        <v>1189</v>
      </c>
      <c r="C458" s="149" t="s">
        <v>1190</v>
      </c>
    </row>
    <row r="459" spans="2:3" ht="12.75" x14ac:dyDescent="0.2">
      <c r="B459" s="96" t="s">
        <v>1191</v>
      </c>
      <c r="C459" s="149" t="s">
        <v>1192</v>
      </c>
    </row>
    <row r="460" spans="2:3" ht="12.75" x14ac:dyDescent="0.2">
      <c r="B460" s="96" t="s">
        <v>1193</v>
      </c>
      <c r="C460" s="149" t="s">
        <v>1194</v>
      </c>
    </row>
    <row r="461" spans="2:3" ht="12.75" x14ac:dyDescent="0.2">
      <c r="B461" s="96" t="s">
        <v>1195</v>
      </c>
      <c r="C461" s="149" t="s">
        <v>1196</v>
      </c>
    </row>
    <row r="462" spans="2:3" ht="12.75" x14ac:dyDescent="0.2">
      <c r="B462" s="96" t="s">
        <v>1197</v>
      </c>
      <c r="C462" s="149" t="s">
        <v>1198</v>
      </c>
    </row>
    <row r="463" spans="2:3" ht="12.75" x14ac:dyDescent="0.2">
      <c r="B463" s="96" t="s">
        <v>1199</v>
      </c>
      <c r="C463" s="149" t="s">
        <v>1200</v>
      </c>
    </row>
    <row r="464" spans="2:3" ht="12.75" x14ac:dyDescent="0.2">
      <c r="B464" s="96" t="s">
        <v>1201</v>
      </c>
      <c r="C464" s="149" t="s">
        <v>1202</v>
      </c>
    </row>
    <row r="465" spans="2:3" ht="12.75" x14ac:dyDescent="0.2">
      <c r="B465" s="144" t="s">
        <v>1203</v>
      </c>
      <c r="C465" s="98" t="s">
        <v>1204</v>
      </c>
    </row>
    <row r="466" spans="2:3" ht="12.75" x14ac:dyDescent="0.2">
      <c r="B466" s="144" t="s">
        <v>1205</v>
      </c>
      <c r="C466" s="94" t="s">
        <v>1206</v>
      </c>
    </row>
    <row r="467" spans="2:3" ht="12.75" x14ac:dyDescent="0.2">
      <c r="B467" s="144"/>
      <c r="C467" s="94"/>
    </row>
    <row r="468" spans="2:3" ht="12.75" x14ac:dyDescent="0.2">
      <c r="B468" s="143" t="s">
        <v>1207</v>
      </c>
      <c r="C468" s="95" t="s">
        <v>1208</v>
      </c>
    </row>
    <row r="469" spans="2:3" ht="12.75" x14ac:dyDescent="0.2">
      <c r="B469" s="144" t="s">
        <v>1209</v>
      </c>
      <c r="C469" s="149" t="s">
        <v>146</v>
      </c>
    </row>
    <row r="470" spans="2:3" ht="12.75" x14ac:dyDescent="0.2">
      <c r="B470" s="150"/>
      <c r="C470" s="150"/>
    </row>
    <row r="471" spans="2:3" ht="12.75" x14ac:dyDescent="0.2">
      <c r="B471" s="147" t="s">
        <v>1210</v>
      </c>
      <c r="C471" s="146" t="s">
        <v>1211</v>
      </c>
    </row>
    <row r="472" spans="2:3" ht="12.75" x14ac:dyDescent="0.2">
      <c r="B472" s="96" t="s">
        <v>1212</v>
      </c>
      <c r="C472" s="149" t="s">
        <v>1213</v>
      </c>
    </row>
    <row r="473" spans="2:3" ht="12.75" x14ac:dyDescent="0.2">
      <c r="B473" s="96" t="s">
        <v>1214</v>
      </c>
      <c r="C473" s="149" t="s">
        <v>1215</v>
      </c>
    </row>
    <row r="474" spans="2:3" ht="12.75" x14ac:dyDescent="0.2">
      <c r="B474" s="150"/>
      <c r="C474" s="150"/>
    </row>
    <row r="475" spans="2:3" ht="12.75" x14ac:dyDescent="0.2">
      <c r="B475" s="150"/>
      <c r="C475" s="150"/>
    </row>
    <row r="476" spans="2:3" ht="12.75" x14ac:dyDescent="0.2">
      <c r="B476" s="135"/>
      <c r="C476" s="150"/>
    </row>
    <row r="477" spans="2:3" ht="12.75" x14ac:dyDescent="0.2">
      <c r="B477" s="150"/>
      <c r="C477" s="150"/>
    </row>
    <row r="478" spans="2:3" ht="12.75" x14ac:dyDescent="0.2">
      <c r="B478" s="150"/>
      <c r="C478" s="150"/>
    </row>
    <row r="479" spans="2:3" ht="12.75" x14ac:dyDescent="0.2">
      <c r="B479" s="150"/>
      <c r="C479" s="150"/>
    </row>
    <row r="480" spans="2:3" ht="12.75" x14ac:dyDescent="0.2">
      <c r="B480" s="150"/>
      <c r="C480" s="150"/>
    </row>
    <row r="481" spans="2:3" ht="12.75" x14ac:dyDescent="0.2">
      <c r="B481" s="150"/>
      <c r="C481" s="150"/>
    </row>
    <row r="482" spans="2:3" ht="12.75" x14ac:dyDescent="0.2">
      <c r="B482" s="150"/>
      <c r="C482" s="150"/>
    </row>
    <row r="483" spans="2:3" ht="12.75" x14ac:dyDescent="0.2">
      <c r="B483" s="150"/>
      <c r="C483" s="150"/>
    </row>
    <row r="484" spans="2:3" ht="12.75" x14ac:dyDescent="0.2">
      <c r="B484" s="150"/>
      <c r="C484" s="150"/>
    </row>
    <row r="485" spans="2:3" ht="12.75" x14ac:dyDescent="0.2">
      <c r="B485" s="150"/>
      <c r="C485" s="150"/>
    </row>
    <row r="486" spans="2:3" ht="12.75" x14ac:dyDescent="0.2">
      <c r="B486" s="150"/>
      <c r="C486" s="150"/>
    </row>
    <row r="487" spans="2:3" ht="12.75" x14ac:dyDescent="0.2">
      <c r="B487" s="150"/>
      <c r="C487" s="150"/>
    </row>
    <row r="488" spans="2:3" ht="12.75" x14ac:dyDescent="0.2">
      <c r="B488" s="150"/>
      <c r="C488" s="150"/>
    </row>
    <row r="489" spans="2:3" ht="12.75" x14ac:dyDescent="0.2">
      <c r="B489" s="150"/>
      <c r="C489" s="150"/>
    </row>
    <row r="490" spans="2:3" ht="12.75" x14ac:dyDescent="0.2">
      <c r="B490" s="150"/>
      <c r="C490" s="150"/>
    </row>
    <row r="491" spans="2:3" ht="14.25" x14ac:dyDescent="0.2">
      <c r="B491" s="151"/>
      <c r="C491" s="151"/>
    </row>
    <row r="492" spans="2:3" ht="14.25" x14ac:dyDescent="0.2">
      <c r="B492" s="151"/>
      <c r="C492" s="151"/>
    </row>
    <row r="493" spans="2:3" ht="14.25" x14ac:dyDescent="0.2">
      <c r="B493" s="151"/>
      <c r="C493" s="151"/>
    </row>
    <row r="494" spans="2:3" ht="14.25" x14ac:dyDescent="0.2">
      <c r="B494" s="151"/>
      <c r="C494" s="151"/>
    </row>
    <row r="495" spans="2:3" ht="14.25" x14ac:dyDescent="0.2">
      <c r="B495" s="151"/>
      <c r="C495" s="151"/>
    </row>
    <row r="496" spans="2:3" ht="14.25" x14ac:dyDescent="0.2">
      <c r="B496" s="151"/>
      <c r="C496" s="151"/>
    </row>
    <row r="497" spans="2:3" ht="14.25" x14ac:dyDescent="0.2">
      <c r="B497" s="151"/>
      <c r="C497" s="151"/>
    </row>
    <row r="498" spans="2:3" ht="14.25" x14ac:dyDescent="0.2">
      <c r="B498" s="151"/>
      <c r="C498" s="151"/>
    </row>
    <row r="499" spans="2:3" ht="14.25" x14ac:dyDescent="0.2">
      <c r="B499" s="151"/>
      <c r="C499" s="151"/>
    </row>
    <row r="500" spans="2:3" ht="14.25" x14ac:dyDescent="0.2">
      <c r="B500" s="151"/>
      <c r="C500" s="151"/>
    </row>
    <row r="501" spans="2:3" ht="14.25" x14ac:dyDescent="0.2">
      <c r="B501" s="151"/>
      <c r="C501" s="151"/>
    </row>
    <row r="502" spans="2:3" ht="14.25" x14ac:dyDescent="0.2">
      <c r="B502" s="151"/>
      <c r="C502" s="151"/>
    </row>
    <row r="503" spans="2:3" ht="14.25" x14ac:dyDescent="0.2">
      <c r="B503" s="151"/>
      <c r="C503" s="151"/>
    </row>
    <row r="504" spans="2:3" ht="14.25" x14ac:dyDescent="0.2">
      <c r="B504" s="151"/>
      <c r="C504" s="151"/>
    </row>
    <row r="505" spans="2:3" ht="14.25" x14ac:dyDescent="0.2">
      <c r="B505" s="151"/>
      <c r="C505" s="151"/>
    </row>
    <row r="506" spans="2:3" ht="14.25" x14ac:dyDescent="0.2">
      <c r="B506" s="151"/>
      <c r="C506" s="151"/>
    </row>
    <row r="507" spans="2:3" ht="14.25" x14ac:dyDescent="0.2">
      <c r="B507" s="151"/>
      <c r="C507" s="151"/>
    </row>
    <row r="508" spans="2:3" ht="14.25" x14ac:dyDescent="0.2">
      <c r="B508" s="151"/>
      <c r="C508" s="151"/>
    </row>
    <row r="509" spans="2:3" ht="14.25" x14ac:dyDescent="0.2">
      <c r="B509" s="151"/>
      <c r="C509" s="151"/>
    </row>
    <row r="510" spans="2:3" ht="14.25" x14ac:dyDescent="0.2">
      <c r="B510" s="151"/>
      <c r="C510" s="151"/>
    </row>
    <row r="511" spans="2:3" ht="14.25" x14ac:dyDescent="0.2">
      <c r="B511" s="151"/>
      <c r="C511" s="151"/>
    </row>
    <row r="512" spans="2:3" ht="14.25" x14ac:dyDescent="0.2">
      <c r="B512" s="151"/>
      <c r="C512" s="151"/>
    </row>
    <row r="513" spans="2:3" ht="14.25" x14ac:dyDescent="0.2">
      <c r="B513" s="151"/>
      <c r="C513" s="151"/>
    </row>
    <row r="514" spans="2:3" ht="14.25" x14ac:dyDescent="0.2">
      <c r="B514" s="151"/>
      <c r="C514" s="151"/>
    </row>
    <row r="515" spans="2:3" ht="15" x14ac:dyDescent="0.25">
      <c r="B515" s="152"/>
      <c r="C515" s="152"/>
    </row>
    <row r="516" spans="2:3" ht="15" x14ac:dyDescent="0.25">
      <c r="B516" s="152"/>
      <c r="C516" s="152"/>
    </row>
    <row r="517" spans="2:3" ht="15" x14ac:dyDescent="0.25">
      <c r="B517" s="152"/>
      <c r="C517" s="152"/>
    </row>
    <row r="518" spans="2:3" ht="15" x14ac:dyDescent="0.25">
      <c r="B518" s="152"/>
      <c r="C518" s="152"/>
    </row>
    <row r="519" spans="2:3" ht="15" x14ac:dyDescent="0.25">
      <c r="B519" s="152"/>
      <c r="C519" s="152"/>
    </row>
    <row r="520" spans="2:3" ht="15" x14ac:dyDescent="0.25">
      <c r="B520" s="152"/>
      <c r="C520" s="152"/>
    </row>
    <row r="521" spans="2:3" ht="15" x14ac:dyDescent="0.25">
      <c r="B521" s="152"/>
      <c r="C521" s="152"/>
    </row>
    <row r="522" spans="2:3" ht="15" x14ac:dyDescent="0.25">
      <c r="B522" s="152"/>
      <c r="C522" s="152"/>
    </row>
    <row r="523" spans="2:3" ht="15" x14ac:dyDescent="0.25">
      <c r="B523" s="152"/>
      <c r="C523" s="152"/>
    </row>
    <row r="524" spans="2:3" ht="15" x14ac:dyDescent="0.25">
      <c r="B524" s="152"/>
      <c r="C524" s="152"/>
    </row>
    <row r="525" spans="2:3" ht="15" x14ac:dyDescent="0.25">
      <c r="B525" s="152"/>
      <c r="C525" s="152"/>
    </row>
    <row r="526" spans="2:3" ht="15" x14ac:dyDescent="0.25">
      <c r="B526" s="152"/>
      <c r="C526" s="152"/>
    </row>
    <row r="527" spans="2:3" ht="15" x14ac:dyDescent="0.25">
      <c r="B527" s="152"/>
      <c r="C527" s="152"/>
    </row>
    <row r="528" spans="2:3" ht="15" x14ac:dyDescent="0.25">
      <c r="B528" s="152"/>
      <c r="C528" s="152"/>
    </row>
  </sheetData>
  <mergeCells count="16">
    <mergeCell ref="B319:C319"/>
    <mergeCell ref="B320:C320"/>
    <mergeCell ref="B384:C384"/>
    <mergeCell ref="B385:C385"/>
    <mergeCell ref="B136:C136"/>
    <mergeCell ref="B137:C137"/>
    <mergeCell ref="B193:C193"/>
    <mergeCell ref="B194:C194"/>
    <mergeCell ref="B250:C250"/>
    <mergeCell ref="B251:C251"/>
    <mergeCell ref="B135:C135"/>
    <mergeCell ref="B3:C3"/>
    <mergeCell ref="B9:C9"/>
    <mergeCell ref="B10:C10"/>
    <mergeCell ref="B82:C82"/>
    <mergeCell ref="B83:C83"/>
  </mergeCells>
  <hyperlinks>
    <hyperlink ref="B1" location="ÍNDICE!A1" display="ÍNDICE" xr:uid="{5C933599-2B00-4967-A3E6-1503A1F13CFF}"/>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74"/>
  <sheetViews>
    <sheetView showGridLines="0" zoomScale="90" zoomScaleNormal="90" workbookViewId="0"/>
  </sheetViews>
  <sheetFormatPr baseColWidth="10" defaultColWidth="11.42578125" defaultRowHeight="15" x14ac:dyDescent="0.25"/>
  <cols>
    <col min="1" max="1" width="2.7109375" style="43" customWidth="1"/>
    <col min="2" max="2" width="3.85546875" style="43" customWidth="1"/>
    <col min="3" max="3" width="7.28515625" style="43" customWidth="1"/>
    <col min="4" max="6" width="11.42578125" style="43"/>
    <col min="7" max="7" width="15.28515625" style="43" customWidth="1"/>
    <col min="8" max="10" width="12.7109375" style="43" customWidth="1"/>
    <col min="11" max="11" width="15.7109375" style="45" customWidth="1"/>
    <col min="12" max="12" width="11.42578125" style="43"/>
    <col min="13" max="13" width="13.42578125" style="43" bestFit="1" customWidth="1"/>
    <col min="14" max="16384" width="11.42578125" style="43"/>
  </cols>
  <sheetData>
    <row r="2" spans="2:20" x14ac:dyDescent="0.25">
      <c r="B2" s="158" t="s">
        <v>42</v>
      </c>
      <c r="C2" s="67"/>
      <c r="D2" s="67"/>
      <c r="E2" s="67"/>
      <c r="F2" s="67"/>
      <c r="G2" s="67"/>
      <c r="H2" s="67"/>
      <c r="I2" s="67"/>
      <c r="J2" s="67"/>
      <c r="K2" s="68"/>
      <c r="T2" s="44"/>
    </row>
    <row r="3" spans="2:20" ht="9.6" customHeight="1" x14ac:dyDescent="0.25">
      <c r="B3" s="67"/>
      <c r="C3" s="67"/>
      <c r="D3" s="67"/>
      <c r="E3" s="67"/>
      <c r="F3" s="67"/>
      <c r="G3" s="67"/>
      <c r="H3" s="67"/>
      <c r="I3" s="67"/>
      <c r="J3" s="67"/>
      <c r="K3" s="68"/>
      <c r="O3" s="44"/>
      <c r="P3" s="44"/>
      <c r="Q3" s="44"/>
      <c r="R3" s="44"/>
      <c r="S3" s="44"/>
      <c r="T3" s="44"/>
    </row>
    <row r="4" spans="2:20" s="41" customFormat="1" ht="12.75" x14ac:dyDescent="0.2">
      <c r="B4" s="67" t="s">
        <v>1266</v>
      </c>
      <c r="C4" s="67"/>
      <c r="D4" s="67"/>
      <c r="E4" s="67"/>
      <c r="F4" s="67"/>
      <c r="G4" s="67"/>
      <c r="H4" s="67"/>
      <c r="I4" s="67"/>
      <c r="J4" s="67"/>
      <c r="K4" s="346" t="s">
        <v>43</v>
      </c>
      <c r="O4" s="42"/>
      <c r="P4" s="42"/>
      <c r="Q4" s="42"/>
      <c r="R4" s="42"/>
      <c r="S4" s="42"/>
      <c r="T4" s="42"/>
    </row>
    <row r="5" spans="2:20" s="41" customFormat="1" ht="12.75" x14ac:dyDescent="0.2">
      <c r="B5" s="67" t="s">
        <v>1338</v>
      </c>
      <c r="C5" s="67"/>
      <c r="D5" s="67"/>
      <c r="E5" s="67"/>
      <c r="F5" s="67"/>
      <c r="G5" s="67"/>
      <c r="H5" s="67"/>
      <c r="I5" s="67"/>
      <c r="J5" s="67"/>
      <c r="K5" s="101">
        <v>8500</v>
      </c>
      <c r="O5" s="42"/>
      <c r="P5" s="42"/>
      <c r="Q5" s="42"/>
      <c r="R5" s="42"/>
      <c r="S5" s="42"/>
      <c r="T5" s="42"/>
    </row>
    <row r="6" spans="2:20" s="41" customFormat="1" ht="12.75" x14ac:dyDescent="0.2">
      <c r="B6" s="67" t="s">
        <v>1339</v>
      </c>
      <c r="C6" s="67"/>
      <c r="D6" s="67"/>
      <c r="E6" s="67"/>
      <c r="F6" s="67"/>
      <c r="G6" s="67"/>
      <c r="H6" s="67"/>
      <c r="I6" s="67"/>
      <c r="J6" s="67"/>
      <c r="K6" s="100">
        <f>Antecedentes!M57</f>
        <v>948.33</v>
      </c>
      <c r="O6" s="42"/>
      <c r="P6" s="42"/>
      <c r="Q6" s="42"/>
      <c r="R6" s="42"/>
      <c r="S6" s="42"/>
      <c r="T6" s="42"/>
    </row>
    <row r="7" spans="2:20" s="41" customFormat="1" ht="12.75" x14ac:dyDescent="0.2">
      <c r="B7" s="67" t="s">
        <v>1316</v>
      </c>
      <c r="C7" s="67"/>
      <c r="D7" s="67"/>
      <c r="E7" s="67"/>
      <c r="F7" s="67"/>
      <c r="G7" s="67"/>
      <c r="H7" s="67"/>
      <c r="I7" s="67"/>
      <c r="J7" s="67"/>
      <c r="K7" s="79">
        <v>0.15</v>
      </c>
      <c r="O7" s="42"/>
      <c r="P7" s="42"/>
      <c r="Q7" s="42"/>
      <c r="R7" s="42"/>
      <c r="S7" s="42"/>
      <c r="T7" s="42"/>
    </row>
    <row r="8" spans="2:20" s="41" customFormat="1" ht="12.75" x14ac:dyDescent="0.2">
      <c r="B8" s="67" t="s">
        <v>1317</v>
      </c>
      <c r="C8" s="67"/>
      <c r="D8" s="67"/>
      <c r="E8" s="67"/>
      <c r="F8" s="67"/>
      <c r="G8" s="67"/>
      <c r="H8" s="67"/>
      <c r="I8" s="67"/>
      <c r="J8" s="67"/>
      <c r="K8" s="79">
        <v>0.32</v>
      </c>
      <c r="O8" s="42"/>
      <c r="P8" s="42"/>
      <c r="Q8" s="42"/>
      <c r="R8" s="42"/>
      <c r="S8" s="42"/>
      <c r="T8" s="42"/>
    </row>
    <row r="9" spans="2:20" x14ac:dyDescent="0.25">
      <c r="B9" s="67"/>
      <c r="C9" s="67"/>
      <c r="D9" s="67"/>
      <c r="E9" s="67"/>
      <c r="F9" s="67"/>
      <c r="G9" s="67"/>
      <c r="H9" s="67"/>
      <c r="I9" s="67"/>
      <c r="J9" s="67"/>
      <c r="K9" s="70"/>
      <c r="O9" s="44"/>
      <c r="P9" s="44"/>
      <c r="Q9" s="44"/>
      <c r="R9" s="44"/>
      <c r="S9" s="44"/>
      <c r="T9" s="44"/>
    </row>
    <row r="10" spans="2:20" ht="15.75" customHeight="1" x14ac:dyDescent="0.25">
      <c r="B10" s="158" t="s">
        <v>1335</v>
      </c>
      <c r="C10" s="66"/>
      <c r="D10" s="66"/>
      <c r="E10" s="66"/>
      <c r="F10" s="66"/>
      <c r="G10" s="66"/>
      <c r="H10" s="67"/>
      <c r="I10" s="67"/>
      <c r="J10" s="67"/>
      <c r="K10" s="68"/>
      <c r="L10" s="49"/>
      <c r="O10" s="44"/>
      <c r="P10" s="44"/>
      <c r="Q10" s="44"/>
      <c r="R10" s="44"/>
      <c r="S10" s="44"/>
      <c r="T10" s="44"/>
    </row>
    <row r="11" spans="2:20" ht="7.5" customHeight="1" x14ac:dyDescent="0.25">
      <c r="B11" s="66"/>
      <c r="C11" s="66"/>
      <c r="D11" s="66"/>
      <c r="E11" s="66"/>
      <c r="F11" s="66"/>
      <c r="G11" s="66"/>
      <c r="H11" s="67"/>
      <c r="I11" s="67"/>
      <c r="J11" s="67"/>
      <c r="K11" s="68"/>
      <c r="L11" s="49"/>
      <c r="O11" s="44"/>
      <c r="P11" s="44"/>
      <c r="Q11" s="44"/>
      <c r="R11" s="44"/>
      <c r="S11" s="44"/>
      <c r="T11" s="44"/>
    </row>
    <row r="12" spans="2:20" s="522" customFormat="1" ht="22.5" customHeight="1" x14ac:dyDescent="0.25">
      <c r="B12" s="523" t="s">
        <v>1329</v>
      </c>
      <c r="C12" s="518"/>
      <c r="D12" s="520"/>
      <c r="E12" s="520"/>
      <c r="F12" s="520"/>
      <c r="G12" s="520"/>
      <c r="H12" s="518"/>
      <c r="I12" s="518"/>
      <c r="J12" s="518"/>
      <c r="K12" s="519"/>
      <c r="L12" s="494"/>
      <c r="O12" s="525"/>
      <c r="P12" s="525"/>
      <c r="Q12" s="525"/>
      <c r="R12" s="525"/>
      <c r="S12" s="525"/>
      <c r="T12" s="525"/>
    </row>
    <row r="13" spans="2:20" s="495" customFormat="1" ht="12.75" x14ac:dyDescent="0.25">
      <c r="B13" s="490" t="s">
        <v>1319</v>
      </c>
      <c r="C13" s="491"/>
      <c r="D13" s="491"/>
      <c r="E13" s="491"/>
      <c r="F13" s="491"/>
      <c r="G13" s="491"/>
      <c r="H13" s="491"/>
      <c r="I13" s="491"/>
      <c r="J13" s="492"/>
      <c r="K13" s="493">
        <f>SUM(J14:J16)</f>
        <v>8060805</v>
      </c>
      <c r="L13" s="494"/>
      <c r="O13" s="496"/>
      <c r="P13" s="496"/>
      <c r="Q13" s="496"/>
      <c r="R13" s="496"/>
      <c r="S13" s="496"/>
      <c r="T13" s="496"/>
    </row>
    <row r="14" spans="2:20" s="41" customFormat="1" ht="12.75" x14ac:dyDescent="0.2">
      <c r="B14" s="479"/>
      <c r="C14" s="583" t="s">
        <v>1340</v>
      </c>
      <c r="D14" s="583"/>
      <c r="E14" s="583"/>
      <c r="F14" s="583"/>
      <c r="G14" s="583"/>
      <c r="H14" s="583"/>
      <c r="I14" s="584"/>
      <c r="J14" s="480">
        <f>ROUND(K5*K6,0)</f>
        <v>8060805</v>
      </c>
      <c r="K14" s="480"/>
      <c r="L14" s="49"/>
      <c r="O14" s="42"/>
      <c r="P14" s="42"/>
      <c r="Q14" s="42"/>
      <c r="R14" s="42"/>
      <c r="S14" s="42"/>
      <c r="T14" s="42"/>
    </row>
    <row r="15" spans="2:20" s="41" customFormat="1" ht="12.75" x14ac:dyDescent="0.2">
      <c r="B15" s="479"/>
      <c r="C15" s="583" t="s">
        <v>1314</v>
      </c>
      <c r="D15" s="583"/>
      <c r="E15" s="583"/>
      <c r="F15" s="583"/>
      <c r="G15" s="583"/>
      <c r="H15" s="583"/>
      <c r="I15" s="584"/>
      <c r="J15" s="498">
        <v>0</v>
      </c>
      <c r="K15" s="480"/>
      <c r="L15" s="49"/>
      <c r="O15" s="42"/>
      <c r="P15" s="42"/>
      <c r="Q15" s="42"/>
      <c r="R15" s="42"/>
      <c r="S15" s="42"/>
      <c r="T15" s="42"/>
    </row>
    <row r="16" spans="2:20" s="41" customFormat="1" ht="12.75" x14ac:dyDescent="0.2">
      <c r="B16" s="481"/>
      <c r="C16" s="585" t="s">
        <v>1315</v>
      </c>
      <c r="D16" s="585"/>
      <c r="E16" s="585"/>
      <c r="F16" s="585"/>
      <c r="G16" s="585"/>
      <c r="H16" s="585"/>
      <c r="I16" s="586"/>
      <c r="J16" s="499">
        <v>0</v>
      </c>
      <c r="K16" s="484"/>
      <c r="L16" s="49"/>
      <c r="O16" s="42"/>
      <c r="P16" s="42"/>
      <c r="Q16" s="42"/>
      <c r="R16" s="42"/>
      <c r="S16" s="42"/>
      <c r="T16" s="42"/>
    </row>
    <row r="17" spans="1:20" s="41" customFormat="1" ht="3.75" customHeight="1" x14ac:dyDescent="0.2">
      <c r="B17" s="485"/>
      <c r="C17" s="482"/>
      <c r="D17" s="482"/>
      <c r="E17" s="482"/>
      <c r="F17" s="482"/>
      <c r="G17" s="482"/>
      <c r="H17" s="482"/>
      <c r="I17" s="485"/>
      <c r="J17" s="483"/>
      <c r="K17" s="497"/>
      <c r="L17" s="49"/>
      <c r="O17" s="42"/>
      <c r="P17" s="42"/>
      <c r="Q17" s="42"/>
      <c r="R17" s="42"/>
      <c r="S17" s="42"/>
      <c r="T17" s="42"/>
    </row>
    <row r="18" spans="1:20" s="495" customFormat="1" ht="12.75" x14ac:dyDescent="0.25">
      <c r="B18" s="490" t="s">
        <v>1320</v>
      </c>
      <c r="C18" s="491"/>
      <c r="D18" s="491"/>
      <c r="E18" s="491"/>
      <c r="F18" s="491"/>
      <c r="G18" s="491"/>
      <c r="H18" s="491"/>
      <c r="I18" s="491"/>
      <c r="J18" s="492"/>
      <c r="K18" s="493">
        <f>MIN(J19:J22)</f>
        <v>4881110</v>
      </c>
      <c r="L18" s="494"/>
      <c r="O18" s="496"/>
      <c r="P18" s="496"/>
      <c r="Q18" s="496"/>
      <c r="R18" s="496"/>
      <c r="S18" s="496"/>
      <c r="T18" s="496"/>
    </row>
    <row r="19" spans="1:20" s="495" customFormat="1" ht="15" customHeight="1" x14ac:dyDescent="0.25">
      <c r="B19" s="504"/>
      <c r="C19" s="81" t="s">
        <v>1311</v>
      </c>
      <c r="D19" s="81"/>
      <c r="E19" s="81"/>
      <c r="F19" s="81"/>
      <c r="G19" s="81"/>
      <c r="H19" s="81"/>
      <c r="I19" s="507"/>
      <c r="J19" s="508">
        <f>SUM(I20:I21)</f>
        <v>5885224</v>
      </c>
      <c r="K19" s="508"/>
      <c r="L19" s="494"/>
      <c r="O19" s="496"/>
      <c r="P19" s="496"/>
      <c r="Q19" s="496"/>
      <c r="R19" s="496"/>
      <c r="S19" s="496"/>
      <c r="T19" s="496"/>
    </row>
    <row r="20" spans="1:20" s="41" customFormat="1" ht="12.75" x14ac:dyDescent="0.2">
      <c r="B20" s="479"/>
      <c r="C20" s="67"/>
      <c r="D20" s="67" t="s">
        <v>1341</v>
      </c>
      <c r="E20" s="67"/>
      <c r="F20" s="67"/>
      <c r="G20" s="67"/>
      <c r="H20" s="67"/>
      <c r="I20" s="480">
        <f>ROUND(K5*K6/(1-K7)*K7,0)</f>
        <v>1422495</v>
      </c>
      <c r="J20" s="486"/>
      <c r="K20" s="480"/>
      <c r="L20" s="49"/>
      <c r="M20" s="536"/>
      <c r="N20" s="496"/>
      <c r="O20" s="42"/>
      <c r="P20" s="42"/>
      <c r="Q20" s="42"/>
      <c r="R20" s="42"/>
      <c r="S20" s="42"/>
      <c r="T20" s="42"/>
    </row>
    <row r="21" spans="1:20" s="41" customFormat="1" x14ac:dyDescent="0.35">
      <c r="B21" s="479"/>
      <c r="C21" s="67"/>
      <c r="D21" s="67" t="s">
        <v>1312</v>
      </c>
      <c r="E21" s="67"/>
      <c r="F21" s="67"/>
      <c r="G21" s="67"/>
      <c r="H21" s="67"/>
      <c r="I21" s="487">
        <f>ROUND((K5*K6/(1-K7))/(1-K8)*K8,0)</f>
        <v>4462729</v>
      </c>
      <c r="J21" s="486"/>
      <c r="K21" s="480"/>
      <c r="L21" s="99"/>
      <c r="M21" s="536"/>
      <c r="N21" s="536"/>
      <c r="O21" s="42"/>
      <c r="P21" s="42"/>
      <c r="Q21" s="42"/>
      <c r="R21" s="42"/>
      <c r="S21" s="42"/>
      <c r="T21" s="42"/>
    </row>
    <row r="22" spans="1:20" s="495" customFormat="1" ht="15" customHeight="1" x14ac:dyDescent="0.25">
      <c r="B22" s="504"/>
      <c r="C22" s="81" t="s">
        <v>1313</v>
      </c>
      <c r="D22" s="81"/>
      <c r="E22" s="81"/>
      <c r="F22" s="81"/>
      <c r="G22" s="81"/>
      <c r="H22" s="81"/>
      <c r="I22" s="507"/>
      <c r="J22" s="508">
        <f>ROUND((J14+J19)*35%,0)</f>
        <v>4881110</v>
      </c>
      <c r="K22" s="508"/>
      <c r="L22" s="515"/>
    </row>
    <row r="23" spans="1:20" s="41" customFormat="1" ht="3.75" customHeight="1" x14ac:dyDescent="0.2">
      <c r="B23" s="485"/>
      <c r="C23" s="485"/>
      <c r="D23" s="485"/>
      <c r="E23" s="489"/>
      <c r="F23" s="485"/>
      <c r="G23" s="485"/>
      <c r="H23" s="485"/>
      <c r="I23" s="485"/>
      <c r="J23" s="489"/>
      <c r="K23" s="497"/>
      <c r="L23" s="49"/>
    </row>
    <row r="24" spans="1:20" s="495" customFormat="1" ht="12.75" x14ac:dyDescent="0.25">
      <c r="B24" s="490" t="s">
        <v>1327</v>
      </c>
      <c r="C24" s="491"/>
      <c r="D24" s="491"/>
      <c r="E24" s="491"/>
      <c r="F24" s="491"/>
      <c r="G24" s="491"/>
      <c r="H24" s="491"/>
      <c r="I24" s="501">
        <f>SUM(H25:H26)</f>
        <v>12941915</v>
      </c>
      <c r="J24" s="500" t="s">
        <v>44</v>
      </c>
      <c r="K24" s="493">
        <f>ROUND(I24*35%,0)</f>
        <v>4529670</v>
      </c>
      <c r="L24" s="494"/>
    </row>
    <row r="25" spans="1:20" s="495" customFormat="1" ht="15" customHeight="1" x14ac:dyDescent="0.25">
      <c r="B25" s="504"/>
      <c r="C25" s="587" t="s">
        <v>1321</v>
      </c>
      <c r="D25" s="587"/>
      <c r="E25" s="587"/>
      <c r="F25" s="587"/>
      <c r="G25" s="587"/>
      <c r="H25" s="505">
        <f>K13</f>
        <v>8060805</v>
      </c>
      <c r="I25" s="506"/>
      <c r="J25" s="507"/>
      <c r="K25" s="508"/>
      <c r="L25" s="494"/>
    </row>
    <row r="26" spans="1:20" s="495" customFormat="1" ht="15" customHeight="1" x14ac:dyDescent="0.25">
      <c r="B26" s="509"/>
      <c r="C26" s="589" t="s">
        <v>1322</v>
      </c>
      <c r="D26" s="589"/>
      <c r="E26" s="589"/>
      <c r="F26" s="589"/>
      <c r="G26" s="589"/>
      <c r="H26" s="511">
        <f>K18</f>
        <v>4881110</v>
      </c>
      <c r="I26" s="512"/>
      <c r="J26" s="513"/>
      <c r="K26" s="514"/>
      <c r="L26" s="494"/>
    </row>
    <row r="27" spans="1:20" s="41" customFormat="1" ht="3.75" customHeight="1" x14ac:dyDescent="0.2">
      <c r="B27" s="485"/>
      <c r="C27" s="67"/>
      <c r="D27" s="67"/>
      <c r="E27" s="67"/>
      <c r="F27" s="67"/>
      <c r="G27" s="67"/>
      <c r="H27" s="67"/>
      <c r="I27" s="67"/>
      <c r="J27" s="489"/>
      <c r="K27" s="497"/>
      <c r="L27" s="49"/>
    </row>
    <row r="28" spans="1:20" s="495" customFormat="1" ht="12.75" x14ac:dyDescent="0.25">
      <c r="A28" s="502"/>
      <c r="B28" s="526" t="s">
        <v>1323</v>
      </c>
      <c r="C28" s="491"/>
      <c r="D28" s="491"/>
      <c r="E28" s="491"/>
      <c r="F28" s="491"/>
      <c r="G28" s="491"/>
      <c r="H28" s="491"/>
      <c r="I28" s="491"/>
      <c r="J28" s="492"/>
      <c r="K28" s="503">
        <f>MIN(J29:J30)</f>
        <v>4529670</v>
      </c>
      <c r="L28" s="494"/>
    </row>
    <row r="29" spans="1:20" s="495" customFormat="1" ht="15" customHeight="1" x14ac:dyDescent="0.25">
      <c r="B29" s="504"/>
      <c r="C29" s="587" t="s">
        <v>1324</v>
      </c>
      <c r="D29" s="587"/>
      <c r="E29" s="587"/>
      <c r="F29" s="587"/>
      <c r="G29" s="587"/>
      <c r="H29" s="587"/>
      <c r="I29" s="588"/>
      <c r="J29" s="516">
        <f>K18</f>
        <v>4881110</v>
      </c>
      <c r="K29" s="516"/>
      <c r="L29" s="494"/>
    </row>
    <row r="30" spans="1:20" s="495" customFormat="1" ht="15" customHeight="1" x14ac:dyDescent="0.25">
      <c r="B30" s="509"/>
      <c r="C30" s="589" t="s">
        <v>1325</v>
      </c>
      <c r="D30" s="589"/>
      <c r="E30" s="589"/>
      <c r="F30" s="589"/>
      <c r="G30" s="589"/>
      <c r="H30" s="589"/>
      <c r="I30" s="590"/>
      <c r="J30" s="517">
        <f>K24</f>
        <v>4529670</v>
      </c>
      <c r="K30" s="517"/>
      <c r="L30" s="494"/>
    </row>
    <row r="31" spans="1:20" ht="3.75" customHeight="1" x14ac:dyDescent="0.25">
      <c r="B31" s="485"/>
      <c r="C31" s="482"/>
      <c r="D31" s="482"/>
      <c r="E31" s="482"/>
      <c r="F31" s="482"/>
      <c r="G31" s="482"/>
      <c r="H31" s="482"/>
      <c r="I31" s="482"/>
      <c r="J31" s="489"/>
      <c r="K31" s="488"/>
      <c r="L31" s="49"/>
    </row>
    <row r="32" spans="1:20" s="495" customFormat="1" ht="12.75" x14ac:dyDescent="0.25">
      <c r="B32" s="490" t="s">
        <v>1328</v>
      </c>
      <c r="C32" s="491"/>
      <c r="D32" s="491"/>
      <c r="E32" s="491"/>
      <c r="F32" s="491"/>
      <c r="G32" s="491"/>
      <c r="H32" s="491"/>
      <c r="I32" s="491"/>
      <c r="J32" s="492"/>
      <c r="K32" s="503">
        <f>SUM(J33:J34)</f>
        <v>12590475</v>
      </c>
      <c r="L32" s="494"/>
      <c r="M32" s="496"/>
    </row>
    <row r="33" spans="1:12" s="41" customFormat="1" ht="12.75" x14ac:dyDescent="0.2">
      <c r="B33" s="479"/>
      <c r="C33" s="583" t="s">
        <v>1321</v>
      </c>
      <c r="D33" s="583"/>
      <c r="E33" s="583"/>
      <c r="F33" s="583"/>
      <c r="G33" s="583"/>
      <c r="H33" s="583"/>
      <c r="I33" s="584"/>
      <c r="J33" s="480">
        <f>K13</f>
        <v>8060805</v>
      </c>
      <c r="K33" s="480"/>
      <c r="L33" s="49"/>
    </row>
    <row r="34" spans="1:12" s="41" customFormat="1" ht="15" customHeight="1" x14ac:dyDescent="0.2">
      <c r="B34" s="481"/>
      <c r="C34" s="585" t="s">
        <v>1326</v>
      </c>
      <c r="D34" s="585"/>
      <c r="E34" s="585"/>
      <c r="F34" s="585"/>
      <c r="G34" s="585"/>
      <c r="H34" s="585"/>
      <c r="I34" s="586"/>
      <c r="J34" s="484">
        <f>K28</f>
        <v>4529670</v>
      </c>
      <c r="K34" s="484"/>
      <c r="L34" s="49"/>
    </row>
    <row r="35" spans="1:12" s="41" customFormat="1" ht="15" customHeight="1" x14ac:dyDescent="0.2">
      <c r="B35" s="67"/>
      <c r="C35" s="67"/>
      <c r="D35" s="67"/>
      <c r="E35" s="67"/>
      <c r="F35" s="67"/>
      <c r="G35" s="67"/>
      <c r="H35" s="67"/>
      <c r="I35" s="67"/>
      <c r="J35" s="69"/>
      <c r="K35" s="70"/>
      <c r="L35" s="49"/>
    </row>
    <row r="36" spans="1:12" s="522" customFormat="1" ht="22.5" customHeight="1" x14ac:dyDescent="0.25">
      <c r="A36" s="112"/>
      <c r="B36" s="523" t="s">
        <v>1330</v>
      </c>
      <c r="C36" s="520"/>
      <c r="D36" s="520"/>
      <c r="E36" s="520"/>
      <c r="F36" s="518"/>
      <c r="G36" s="518"/>
      <c r="H36" s="518"/>
      <c r="I36" s="518"/>
      <c r="J36" s="521"/>
      <c r="K36" s="519"/>
      <c r="L36" s="494"/>
    </row>
    <row r="37" spans="1:12" s="495" customFormat="1" ht="17.25" customHeight="1" x14ac:dyDescent="0.25">
      <c r="B37" s="504" t="s">
        <v>1318</v>
      </c>
      <c r="C37" s="81"/>
      <c r="D37" s="81"/>
      <c r="E37" s="81"/>
      <c r="F37" s="81"/>
      <c r="G37" s="81"/>
      <c r="H37" s="81"/>
      <c r="I37" s="81"/>
      <c r="J37" s="524"/>
      <c r="K37" s="508"/>
      <c r="L37" s="494"/>
    </row>
    <row r="38" spans="1:12" s="495" customFormat="1" ht="17.25" customHeight="1" x14ac:dyDescent="0.25">
      <c r="B38" s="509"/>
      <c r="C38" s="510" t="s">
        <v>1332</v>
      </c>
      <c r="D38" s="510"/>
      <c r="E38" s="510"/>
      <c r="F38" s="510"/>
      <c r="G38" s="510"/>
      <c r="H38" s="510"/>
      <c r="I38" s="510"/>
      <c r="J38" s="512"/>
      <c r="K38" s="514">
        <f>ROUND(K32*27%,0)</f>
        <v>3399428</v>
      </c>
      <c r="L38" s="515"/>
    </row>
    <row r="39" spans="1:12" s="495" customFormat="1" ht="17.25" customHeight="1" x14ac:dyDescent="0.25">
      <c r="B39" s="504" t="s">
        <v>1333</v>
      </c>
      <c r="C39" s="81"/>
      <c r="D39" s="81"/>
      <c r="E39" s="81"/>
      <c r="F39" s="81"/>
      <c r="G39" s="81"/>
      <c r="H39" s="81"/>
      <c r="I39" s="81"/>
      <c r="J39" s="507"/>
      <c r="K39" s="508"/>
      <c r="L39" s="494"/>
    </row>
    <row r="40" spans="1:12" s="495" customFormat="1" ht="17.25" customHeight="1" x14ac:dyDescent="0.25">
      <c r="B40" s="509"/>
      <c r="C40" s="510" t="s">
        <v>1331</v>
      </c>
      <c r="D40" s="510"/>
      <c r="E40" s="510"/>
      <c r="F40" s="510"/>
      <c r="G40" s="510"/>
      <c r="H40" s="510"/>
      <c r="I40" s="510"/>
      <c r="J40" s="512"/>
      <c r="K40" s="514">
        <f>K28-K38</f>
        <v>1130242</v>
      </c>
      <c r="L40" s="494"/>
    </row>
    <row r="41" spans="1:12" x14ac:dyDescent="0.25">
      <c r="B41" s="67"/>
      <c r="C41" s="67"/>
      <c r="D41" s="67"/>
      <c r="E41" s="67"/>
      <c r="F41" s="67"/>
      <c r="G41" s="67"/>
      <c r="H41" s="67"/>
      <c r="I41" s="67"/>
      <c r="J41" s="67"/>
      <c r="K41" s="68"/>
      <c r="L41" s="49"/>
    </row>
    <row r="42" spans="1:12" x14ac:dyDescent="0.25">
      <c r="B42" s="67"/>
      <c r="C42" s="67"/>
      <c r="D42" s="67"/>
      <c r="E42" s="67"/>
      <c r="F42" s="67"/>
      <c r="G42" s="67"/>
      <c r="H42" s="67"/>
      <c r="I42" s="67"/>
      <c r="J42" s="67"/>
      <c r="K42" s="68"/>
      <c r="L42" s="49"/>
    </row>
    <row r="43" spans="1:12" x14ac:dyDescent="0.25">
      <c r="B43" s="67"/>
      <c r="C43" s="67"/>
      <c r="D43" s="67"/>
      <c r="E43" s="67"/>
      <c r="F43" s="69"/>
      <c r="G43" s="69"/>
      <c r="H43" s="69"/>
      <c r="I43" s="69"/>
      <c r="J43" s="69"/>
      <c r="K43" s="68"/>
    </row>
    <row r="44" spans="1:12" x14ac:dyDescent="0.25">
      <c r="B44" s="67"/>
      <c r="C44" s="67"/>
      <c r="D44" s="67"/>
      <c r="E44" s="67"/>
      <c r="F44" s="69"/>
      <c r="G44" s="69"/>
      <c r="H44" s="69"/>
      <c r="I44" s="69"/>
      <c r="J44" s="69"/>
      <c r="K44" s="68"/>
    </row>
    <row r="45" spans="1:12" x14ac:dyDescent="0.25">
      <c r="F45" s="44"/>
      <c r="G45" s="44"/>
      <c r="H45" s="44"/>
      <c r="I45" s="44"/>
      <c r="J45" s="44"/>
    </row>
    <row r="46" spans="1:12" x14ac:dyDescent="0.25">
      <c r="F46" s="44"/>
      <c r="G46" s="44"/>
      <c r="H46" s="44"/>
      <c r="I46" s="44"/>
      <c r="J46" s="44"/>
    </row>
    <row r="47" spans="1:12" x14ac:dyDescent="0.25">
      <c r="F47" s="44"/>
      <c r="G47" s="44"/>
      <c r="H47" s="44"/>
      <c r="I47" s="44"/>
      <c r="J47" s="44"/>
    </row>
    <row r="48" spans="1:12" x14ac:dyDescent="0.25">
      <c r="F48" s="44"/>
      <c r="G48" s="44"/>
      <c r="H48" s="44"/>
      <c r="I48" s="44"/>
      <c r="J48" s="44"/>
    </row>
    <row r="49" spans="6:10" x14ac:dyDescent="0.25">
      <c r="F49" s="44"/>
      <c r="G49" s="44"/>
      <c r="H49" s="44"/>
      <c r="I49" s="44"/>
      <c r="J49" s="44"/>
    </row>
    <row r="50" spans="6:10" x14ac:dyDescent="0.25">
      <c r="F50" s="44"/>
      <c r="G50" s="44"/>
      <c r="H50" s="44"/>
      <c r="I50" s="44"/>
      <c r="J50" s="44"/>
    </row>
    <row r="51" spans="6:10" x14ac:dyDescent="0.25">
      <c r="F51" s="44"/>
      <c r="G51" s="44"/>
      <c r="H51" s="44"/>
      <c r="I51" s="44"/>
      <c r="J51" s="44"/>
    </row>
    <row r="52" spans="6:10" x14ac:dyDescent="0.25">
      <c r="F52" s="44"/>
      <c r="G52" s="44"/>
      <c r="H52" s="44"/>
      <c r="I52" s="44"/>
      <c r="J52" s="44"/>
    </row>
    <row r="53" spans="6:10" x14ac:dyDescent="0.25">
      <c r="F53" s="44"/>
      <c r="G53" s="44"/>
      <c r="H53" s="44"/>
      <c r="I53" s="44"/>
      <c r="J53" s="44"/>
    </row>
    <row r="54" spans="6:10" x14ac:dyDescent="0.25">
      <c r="F54" s="44"/>
      <c r="G54" s="44"/>
      <c r="H54" s="44"/>
      <c r="I54" s="44"/>
      <c r="J54" s="44"/>
    </row>
    <row r="55" spans="6:10" x14ac:dyDescent="0.25">
      <c r="F55" s="44"/>
      <c r="G55" s="44"/>
      <c r="H55" s="44"/>
      <c r="I55" s="44"/>
      <c r="J55" s="44"/>
    </row>
    <row r="56" spans="6:10" x14ac:dyDescent="0.25">
      <c r="F56" s="44"/>
      <c r="G56" s="44"/>
      <c r="H56" s="44"/>
      <c r="I56" s="44"/>
      <c r="J56" s="44"/>
    </row>
    <row r="57" spans="6:10" x14ac:dyDescent="0.25">
      <c r="F57" s="44"/>
      <c r="G57" s="44"/>
      <c r="H57" s="44"/>
      <c r="I57" s="44"/>
      <c r="J57" s="44"/>
    </row>
    <row r="58" spans="6:10" x14ac:dyDescent="0.25">
      <c r="F58" s="44"/>
      <c r="G58" s="44"/>
      <c r="H58" s="44"/>
      <c r="I58" s="44"/>
      <c r="J58" s="44"/>
    </row>
    <row r="59" spans="6:10" x14ac:dyDescent="0.25">
      <c r="F59" s="44"/>
      <c r="G59" s="44"/>
      <c r="H59" s="44"/>
      <c r="I59" s="44"/>
      <c r="J59" s="44"/>
    </row>
    <row r="60" spans="6:10" x14ac:dyDescent="0.25">
      <c r="F60" s="44"/>
      <c r="G60" s="44"/>
      <c r="H60" s="44"/>
      <c r="I60" s="44"/>
      <c r="J60" s="44"/>
    </row>
    <row r="61" spans="6:10" x14ac:dyDescent="0.25">
      <c r="F61" s="44"/>
      <c r="G61" s="44"/>
      <c r="H61" s="44"/>
      <c r="I61" s="44"/>
      <c r="J61" s="44"/>
    </row>
    <row r="62" spans="6:10" x14ac:dyDescent="0.25">
      <c r="F62" s="44"/>
      <c r="G62" s="44"/>
      <c r="H62" s="44"/>
      <c r="I62" s="44"/>
      <c r="J62" s="44"/>
    </row>
    <row r="63" spans="6:10" x14ac:dyDescent="0.25">
      <c r="F63" s="44"/>
      <c r="G63" s="44"/>
      <c r="H63" s="44"/>
      <c r="I63" s="44"/>
      <c r="J63" s="44"/>
    </row>
    <row r="64" spans="6:10" x14ac:dyDescent="0.25">
      <c r="F64" s="44"/>
      <c r="G64" s="44"/>
      <c r="H64" s="44"/>
      <c r="I64" s="44"/>
      <c r="J64" s="44"/>
    </row>
    <row r="65" spans="6:10" x14ac:dyDescent="0.25">
      <c r="F65" s="44"/>
      <c r="G65" s="44"/>
      <c r="H65" s="44"/>
      <c r="I65" s="44"/>
      <c r="J65" s="44"/>
    </row>
    <row r="66" spans="6:10" x14ac:dyDescent="0.25">
      <c r="F66" s="44"/>
      <c r="G66" s="44"/>
      <c r="H66" s="44"/>
      <c r="I66" s="44"/>
      <c r="J66" s="44"/>
    </row>
    <row r="67" spans="6:10" x14ac:dyDescent="0.25">
      <c r="F67" s="44"/>
      <c r="G67" s="44"/>
      <c r="H67" s="44"/>
      <c r="I67" s="44"/>
      <c r="J67" s="44"/>
    </row>
    <row r="68" spans="6:10" x14ac:dyDescent="0.25">
      <c r="F68" s="44"/>
      <c r="G68" s="44"/>
      <c r="H68" s="44"/>
      <c r="I68" s="44"/>
      <c r="J68" s="44"/>
    </row>
    <row r="69" spans="6:10" x14ac:dyDescent="0.25">
      <c r="F69" s="44"/>
      <c r="G69" s="44"/>
      <c r="H69" s="44"/>
      <c r="I69" s="44"/>
      <c r="J69" s="44"/>
    </row>
    <row r="70" spans="6:10" x14ac:dyDescent="0.25">
      <c r="F70" s="44"/>
      <c r="G70" s="44"/>
      <c r="H70" s="44"/>
      <c r="I70" s="44"/>
      <c r="J70" s="44"/>
    </row>
    <row r="71" spans="6:10" x14ac:dyDescent="0.25">
      <c r="F71" s="44"/>
      <c r="G71" s="44"/>
      <c r="H71" s="44"/>
      <c r="I71" s="44"/>
      <c r="J71" s="44"/>
    </row>
    <row r="72" spans="6:10" x14ac:dyDescent="0.25">
      <c r="F72" s="44"/>
      <c r="G72" s="44"/>
      <c r="H72" s="44"/>
      <c r="I72" s="44"/>
      <c r="J72" s="44"/>
    </row>
    <row r="73" spans="6:10" x14ac:dyDescent="0.25">
      <c r="F73" s="44"/>
      <c r="G73" s="44"/>
      <c r="H73" s="44"/>
      <c r="I73" s="44"/>
      <c r="J73" s="44"/>
    </row>
    <row r="74" spans="6:10" x14ac:dyDescent="0.25">
      <c r="F74" s="44"/>
      <c r="G74" s="44"/>
      <c r="H74" s="44"/>
      <c r="I74" s="44"/>
      <c r="J74" s="44"/>
    </row>
  </sheetData>
  <mergeCells count="9">
    <mergeCell ref="C14:I14"/>
    <mergeCell ref="C15:I15"/>
    <mergeCell ref="C16:I16"/>
    <mergeCell ref="C33:I33"/>
    <mergeCell ref="C34:I34"/>
    <mergeCell ref="C29:I29"/>
    <mergeCell ref="C30:I30"/>
    <mergeCell ref="C25:G25"/>
    <mergeCell ref="C26:G26"/>
  </mergeCells>
  <phoneticPr fontId="27" type="noConversion"/>
  <printOptions horizontalCentered="1"/>
  <pageMargins left="0.36" right="0.4" top="0.4" bottom="0.74803149606299213" header="0.31496062992125984" footer="0.31496062992125984"/>
  <pageSetup paperSize="9" orientation="portrait"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5"/>
  <sheetViews>
    <sheetView showGridLines="0" zoomScale="90" zoomScaleNormal="90" zoomScalePageLayoutView="90" workbookViewId="0">
      <selection activeCell="G38" sqref="G38"/>
    </sheetView>
  </sheetViews>
  <sheetFormatPr baseColWidth="10" defaultColWidth="11.42578125" defaultRowHeight="15" x14ac:dyDescent="0.25"/>
  <cols>
    <col min="1" max="1" width="4.140625" customWidth="1"/>
    <col min="2" max="2" width="3.140625" customWidth="1"/>
    <col min="3" max="3" width="5.7109375" customWidth="1"/>
    <col min="4" max="4" width="14.42578125" customWidth="1"/>
    <col min="5" max="5" width="13.42578125" customWidth="1"/>
    <col min="8" max="8" width="15.42578125" customWidth="1"/>
    <col min="9" max="9" width="6.42578125" customWidth="1"/>
    <col min="10" max="10" width="13.28515625" bestFit="1" customWidth="1"/>
    <col min="11" max="11" width="20.7109375" style="18" customWidth="1"/>
    <col min="12" max="12" width="15" style="19" customWidth="1"/>
    <col min="13" max="13" width="4.7109375" customWidth="1"/>
    <col min="14" max="14" width="13.140625" bestFit="1" customWidth="1"/>
    <col min="15" max="15" width="7.5703125" bestFit="1" customWidth="1"/>
    <col min="16" max="16" width="76.140625" customWidth="1"/>
  </cols>
  <sheetData>
    <row r="1" spans="1:17" x14ac:dyDescent="0.25">
      <c r="A1" s="50"/>
      <c r="B1" s="71"/>
      <c r="C1" s="71"/>
      <c r="E1" s="102"/>
      <c r="F1" s="102"/>
      <c r="G1" s="102"/>
      <c r="H1" s="102"/>
      <c r="I1" s="102"/>
      <c r="J1" s="102"/>
      <c r="K1" s="102"/>
      <c r="L1" s="279"/>
      <c r="M1" s="71"/>
      <c r="N1" s="50"/>
      <c r="O1" s="50"/>
      <c r="P1" s="50"/>
      <c r="Q1" s="50"/>
    </row>
    <row r="2" spans="1:17" x14ac:dyDescent="0.25">
      <c r="A2" s="50"/>
      <c r="B2" s="594" t="s">
        <v>1236</v>
      </c>
      <c r="C2" s="595"/>
      <c r="D2" s="609" t="s">
        <v>45</v>
      </c>
      <c r="E2" s="610"/>
      <c r="F2" s="610"/>
      <c r="G2" s="610"/>
      <c r="H2" s="610"/>
      <c r="I2" s="610"/>
      <c r="J2" s="610"/>
      <c r="K2" s="611"/>
      <c r="L2" s="615" t="s">
        <v>46</v>
      </c>
      <c r="M2" s="71"/>
      <c r="N2" s="591" t="s">
        <v>1238</v>
      </c>
      <c r="O2" s="592"/>
      <c r="P2" s="593"/>
      <c r="Q2" s="50"/>
    </row>
    <row r="3" spans="1:17" ht="24" customHeight="1" x14ac:dyDescent="0.25">
      <c r="A3" s="50"/>
      <c r="B3" s="596"/>
      <c r="C3" s="597"/>
      <c r="D3" s="612"/>
      <c r="E3" s="613"/>
      <c r="F3" s="613"/>
      <c r="G3" s="613"/>
      <c r="H3" s="613"/>
      <c r="I3" s="613"/>
      <c r="J3" s="613"/>
      <c r="K3" s="614"/>
      <c r="L3" s="616"/>
      <c r="M3" s="71"/>
      <c r="N3" s="287" t="s">
        <v>1248</v>
      </c>
      <c r="O3" s="287" t="s">
        <v>47</v>
      </c>
      <c r="P3" s="288" t="s">
        <v>1237</v>
      </c>
      <c r="Q3" s="50"/>
    </row>
    <row r="4" spans="1:17" x14ac:dyDescent="0.25">
      <c r="A4" s="239"/>
      <c r="B4" s="237" t="s">
        <v>48</v>
      </c>
      <c r="C4" s="243">
        <f>+'R12'!J23</f>
        <v>1672</v>
      </c>
      <c r="D4" s="275" t="s">
        <v>1250</v>
      </c>
      <c r="E4" s="212"/>
      <c r="F4" s="240"/>
      <c r="G4" s="240"/>
      <c r="H4" s="240"/>
      <c r="I4" s="240"/>
      <c r="J4" s="297"/>
      <c r="K4" s="298"/>
      <c r="L4" s="299">
        <f>+Antecedentes!M27</f>
        <v>83400500</v>
      </c>
      <c r="M4" s="52"/>
      <c r="N4" s="257"/>
      <c r="O4" s="244">
        <v>9</v>
      </c>
      <c r="P4" s="259"/>
      <c r="Q4" s="50"/>
    </row>
    <row r="5" spans="1:17" x14ac:dyDescent="0.25">
      <c r="A5" s="239"/>
      <c r="B5" s="237"/>
      <c r="C5" s="244"/>
      <c r="D5" s="72" t="s">
        <v>1249</v>
      </c>
      <c r="E5" s="54"/>
      <c r="F5" s="73"/>
      <c r="G5" s="73"/>
      <c r="H5" s="73"/>
      <c r="I5" s="73"/>
      <c r="J5" s="292" t="s">
        <v>49</v>
      </c>
      <c r="K5" s="293" t="s">
        <v>21</v>
      </c>
      <c r="L5" s="249"/>
      <c r="M5" s="52"/>
      <c r="N5" s="257"/>
      <c r="O5" s="257"/>
      <c r="P5" s="259"/>
      <c r="Q5" s="50"/>
    </row>
    <row r="6" spans="1:17" x14ac:dyDescent="0.25">
      <c r="A6" s="239"/>
      <c r="B6" s="237" t="s">
        <v>48</v>
      </c>
      <c r="C6" s="244">
        <f>+'R12'!J27</f>
        <v>1144</v>
      </c>
      <c r="D6" s="74" t="s">
        <v>50</v>
      </c>
      <c r="E6" s="54"/>
      <c r="F6" s="73"/>
      <c r="G6" s="73"/>
      <c r="H6" s="73"/>
      <c r="I6" s="73"/>
      <c r="J6" s="73">
        <f>+Antecedentes!M31</f>
        <v>49213</v>
      </c>
      <c r="K6" s="253">
        <f>1+Antecedentes!$M$50</f>
        <v>1.022</v>
      </c>
      <c r="L6" s="249">
        <f>ROUND(+J6*K6,0)</f>
        <v>50296</v>
      </c>
      <c r="M6" s="52"/>
      <c r="N6" s="258" t="str">
        <f>'ANEXO N°1 (DDJJ 1847 y 1926)'!B454</f>
        <v>5.03.05.13</v>
      </c>
      <c r="O6" s="244">
        <v>1</v>
      </c>
      <c r="P6" s="259" t="str">
        <f>VLOOKUP(N6,'ANEXO N°1 (DDJJ 1847 y 1926)'!$B:$C,2,0)</f>
        <v>Gasto por Intereses, Reajustes y Multas Fiscales</v>
      </c>
      <c r="Q6" s="50"/>
    </row>
    <row r="7" spans="1:17" x14ac:dyDescent="0.25">
      <c r="A7" s="239"/>
      <c r="B7" s="237" t="s">
        <v>48</v>
      </c>
      <c r="C7" s="244">
        <f>'R12'!J31</f>
        <v>1677</v>
      </c>
      <c r="D7" s="74" t="s">
        <v>1242</v>
      </c>
      <c r="E7" s="54"/>
      <c r="F7" s="73"/>
      <c r="G7" s="73"/>
      <c r="H7" s="73"/>
      <c r="I7" s="73"/>
      <c r="J7" s="73">
        <f>+Antecedentes!M32</f>
        <v>196850</v>
      </c>
      <c r="K7" s="253">
        <f>1+Antecedentes!$M$50</f>
        <v>1.022</v>
      </c>
      <c r="L7" s="249">
        <f>ROUND(+J7*K7,0)</f>
        <v>201181</v>
      </c>
      <c r="M7" s="52"/>
      <c r="N7" s="258" t="str">
        <f>'ANEXO N°1 (DDJJ 1847 y 1926)'!B453</f>
        <v>5.03.05.10</v>
      </c>
      <c r="O7" s="244">
        <v>1</v>
      </c>
      <c r="P7" s="259" t="str">
        <f>VLOOKUP(N7,'ANEXO N°1 (DDJJ 1847 y 1926)'!$B:$C,2,0)</f>
        <v xml:space="preserve">Gastos rechazados no afectos a la tributación del art. 21 </v>
      </c>
      <c r="Q7" s="50"/>
    </row>
    <row r="8" spans="1:17" x14ac:dyDescent="0.25">
      <c r="A8" s="239"/>
      <c r="B8" s="237" t="s">
        <v>48</v>
      </c>
      <c r="C8" s="244">
        <f>+'R12'!J32</f>
        <v>1678</v>
      </c>
      <c r="D8" s="52" t="s">
        <v>1239</v>
      </c>
      <c r="E8" s="54"/>
      <c r="F8" s="73"/>
      <c r="G8" s="73"/>
      <c r="H8" s="73"/>
      <c r="I8" s="73"/>
      <c r="J8" s="73">
        <f>+Antecedentes!M33</f>
        <v>765054</v>
      </c>
      <c r="K8" s="253">
        <f>1+Antecedentes!$M$51</f>
        <v>1.016</v>
      </c>
      <c r="L8" s="249">
        <f>ROUND(+J8*K8,0)</f>
        <v>777295</v>
      </c>
      <c r="M8" s="52"/>
      <c r="N8" s="258" t="str">
        <f>'ANEXO N°1 (DDJJ 1847 y 1926)'!B450</f>
        <v>5.03.05.02</v>
      </c>
      <c r="O8" s="244">
        <v>1</v>
      </c>
      <c r="P8" s="259" t="str">
        <f>VLOOKUP(N8,'ANEXO N°1 (DDJJ 1847 y 1926)'!$B:$C,2,0)</f>
        <v>Gastos No Documentados</v>
      </c>
      <c r="Q8" s="50"/>
    </row>
    <row r="9" spans="1:17" x14ac:dyDescent="0.25">
      <c r="A9" s="239"/>
      <c r="B9" s="237" t="s">
        <v>48</v>
      </c>
      <c r="C9" s="244">
        <f>+'R12'!J27</f>
        <v>1144</v>
      </c>
      <c r="D9" s="72" t="s">
        <v>1240</v>
      </c>
      <c r="E9" s="54"/>
      <c r="F9" s="73"/>
      <c r="G9" s="73"/>
      <c r="H9" s="73"/>
      <c r="I9" s="73"/>
      <c r="J9" s="73">
        <f>+Antecedentes!M34</f>
        <v>17280000</v>
      </c>
      <c r="K9" s="253">
        <f>1+Antecedentes!$M$51</f>
        <v>1.016</v>
      </c>
      <c r="L9" s="249">
        <f>ROUND(+J9*K9,0)</f>
        <v>17556480</v>
      </c>
      <c r="M9" s="52"/>
      <c r="N9" s="258" t="str">
        <f>'ANEXO N°1 (DDJJ 1847 y 1926)'!B455</f>
        <v>5.03.05.14</v>
      </c>
      <c r="O9" s="244">
        <v>1</v>
      </c>
      <c r="P9" s="259" t="str">
        <f>VLOOKUP(N9,'ANEXO N°1 (DDJJ 1847 y 1926)'!$B:$C,2,0)</f>
        <v>Gasto por 'Impuesto de Primera Categoría</v>
      </c>
      <c r="Q9" s="50"/>
    </row>
    <row r="10" spans="1:17" x14ac:dyDescent="0.25">
      <c r="A10" s="239"/>
      <c r="B10" s="237" t="s">
        <v>48</v>
      </c>
      <c r="C10" s="244">
        <f>+C8</f>
        <v>1678</v>
      </c>
      <c r="D10" s="74" t="s">
        <v>51</v>
      </c>
      <c r="E10" s="54"/>
      <c r="F10" s="73"/>
      <c r="G10" s="73"/>
      <c r="H10" s="73"/>
      <c r="I10" s="73"/>
      <c r="J10" s="75">
        <f>+Antecedentes!M35</f>
        <v>3000000</v>
      </c>
      <c r="K10" s="253">
        <v>1</v>
      </c>
      <c r="L10" s="249">
        <f>ROUND(+J10*K10,0)</f>
        <v>3000000</v>
      </c>
      <c r="M10" s="52"/>
      <c r="N10" s="258" t="str">
        <f>'ANEXO N°1 (DDJJ 1847 y 1926)'!B445</f>
        <v>5.03.04.98</v>
      </c>
      <c r="O10" s="244">
        <v>1</v>
      </c>
      <c r="P10" s="259" t="str">
        <f>VLOOKUP(N10,'ANEXO N°1 (DDJJ 1847 y 1926)'!$B:$C,2,0)</f>
        <v xml:space="preserve">Otros agregados al resultado tributario </v>
      </c>
      <c r="Q10" s="50"/>
    </row>
    <row r="11" spans="1:17" x14ac:dyDescent="0.25">
      <c r="A11" s="239"/>
      <c r="B11" s="237" t="s">
        <v>48</v>
      </c>
      <c r="C11" s="244">
        <v>1676</v>
      </c>
      <c r="D11" s="74" t="s">
        <v>1241</v>
      </c>
      <c r="E11" s="54"/>
      <c r="F11" s="73"/>
      <c r="G11" s="73"/>
      <c r="H11" s="73"/>
      <c r="I11" s="73"/>
      <c r="J11" s="75"/>
      <c r="K11" s="249"/>
      <c r="L11" s="249">
        <f>'Crédito IPE'!K28</f>
        <v>4529670</v>
      </c>
      <c r="M11" s="52"/>
      <c r="N11" s="258" t="str">
        <f>'ANEXO N°1 (DDJJ 1847 y 1926)'!B313</f>
        <v>5.01.08.11</v>
      </c>
      <c r="O11" s="244">
        <v>1</v>
      </c>
      <c r="P11" s="259" t="str">
        <f>VLOOKUP(N11,'ANEXO N°1 (DDJJ 1847 y 1926)'!$B:$C,2,0)</f>
        <v>Crédito total disponible</v>
      </c>
      <c r="Q11" s="50"/>
    </row>
    <row r="12" spans="1:17" x14ac:dyDescent="0.25">
      <c r="A12" s="239"/>
      <c r="B12" s="237"/>
      <c r="C12" s="244"/>
      <c r="D12" s="74"/>
      <c r="E12" s="54"/>
      <c r="F12" s="73"/>
      <c r="G12" s="73"/>
      <c r="H12" s="73"/>
      <c r="I12" s="73"/>
      <c r="J12" s="292" t="s">
        <v>49</v>
      </c>
      <c r="K12" s="294" t="s">
        <v>52</v>
      </c>
      <c r="L12" s="249"/>
      <c r="M12" s="52"/>
      <c r="N12" s="258"/>
      <c r="O12" s="257"/>
      <c r="P12" s="259"/>
      <c r="Q12" s="50"/>
    </row>
    <row r="13" spans="1:17" x14ac:dyDescent="0.25">
      <c r="A13" s="239"/>
      <c r="B13" s="237" t="s">
        <v>48</v>
      </c>
      <c r="C13" s="244">
        <f>+'R12'!J26</f>
        <v>1674</v>
      </c>
      <c r="D13" s="72" t="s">
        <v>1243</v>
      </c>
      <c r="E13" s="54"/>
      <c r="F13" s="73"/>
      <c r="G13" s="73"/>
      <c r="H13" s="73"/>
      <c r="I13" s="73"/>
      <c r="J13" s="73">
        <f>+Antecedentes!K45</f>
        <v>60000000</v>
      </c>
      <c r="K13" s="252">
        <f>+Antecedentes!M45</f>
        <v>61284000</v>
      </c>
      <c r="L13" s="249">
        <f>+K13-J13</f>
        <v>1284000</v>
      </c>
      <c r="M13" s="52"/>
      <c r="N13" s="258" t="str">
        <f>'ANEXO N°1 (DDJJ 1847 y 1926)'!B399</f>
        <v>5.01.15.03</v>
      </c>
      <c r="O13" s="244">
        <v>1</v>
      </c>
      <c r="P13" s="259" t="str">
        <f>VLOOKUP(N13,'ANEXO N°1 (DDJJ 1847 y 1926)'!$B:$C,2,0)</f>
        <v>Corr.mon. del capital propio, disminuciones de capital. Art. 41 inciso 1 N°1</v>
      </c>
      <c r="Q13" s="50"/>
    </row>
    <row r="14" spans="1:17" x14ac:dyDescent="0.25">
      <c r="A14" s="239"/>
      <c r="B14" s="289"/>
      <c r="C14" s="289"/>
      <c r="D14" s="271" t="s">
        <v>53</v>
      </c>
      <c r="E14" s="241"/>
      <c r="F14" s="242"/>
      <c r="G14" s="242"/>
      <c r="H14" s="242"/>
      <c r="I14" s="242"/>
      <c r="J14" s="242"/>
      <c r="K14" s="254"/>
      <c r="L14" s="251">
        <f>SUM(L6:L13)</f>
        <v>27398922</v>
      </c>
      <c r="M14" s="52"/>
      <c r="N14" s="258"/>
      <c r="O14" s="257"/>
      <c r="P14" s="259"/>
      <c r="Q14" s="50"/>
    </row>
    <row r="15" spans="1:17" x14ac:dyDescent="0.25">
      <c r="A15" s="239"/>
      <c r="B15" s="244"/>
      <c r="C15" s="244"/>
      <c r="D15" s="72"/>
      <c r="E15" s="54"/>
      <c r="F15" s="73"/>
      <c r="G15" s="73"/>
      <c r="H15" s="73"/>
      <c r="I15" s="73"/>
      <c r="J15" s="73"/>
      <c r="K15" s="255"/>
      <c r="L15" s="249"/>
      <c r="M15" s="52"/>
      <c r="N15" s="258"/>
      <c r="O15" s="257"/>
      <c r="P15" s="259"/>
      <c r="Q15" s="50"/>
    </row>
    <row r="16" spans="1:17" x14ac:dyDescent="0.25">
      <c r="A16" s="239"/>
      <c r="B16" s="237"/>
      <c r="C16" s="244"/>
      <c r="D16" s="72" t="s">
        <v>54</v>
      </c>
      <c r="E16" s="54"/>
      <c r="F16" s="73"/>
      <c r="G16" s="73"/>
      <c r="H16" s="73"/>
      <c r="I16" s="73"/>
      <c r="J16" s="73"/>
      <c r="K16" s="255"/>
      <c r="L16" s="249"/>
      <c r="M16" s="52"/>
      <c r="N16" s="258"/>
      <c r="O16" s="257"/>
      <c r="P16" s="259"/>
      <c r="Q16" s="50"/>
    </row>
    <row r="17" spans="1:17" x14ac:dyDescent="0.25">
      <c r="A17" s="239"/>
      <c r="B17" s="238" t="s">
        <v>55</v>
      </c>
      <c r="C17" s="244">
        <f>+'R12'!J50</f>
        <v>1686</v>
      </c>
      <c r="D17" s="54" t="s">
        <v>56</v>
      </c>
      <c r="E17" s="54"/>
      <c r="F17" s="73"/>
      <c r="G17" s="52"/>
      <c r="H17" s="73"/>
      <c r="I17" s="73"/>
      <c r="J17" s="72"/>
      <c r="K17" s="255"/>
      <c r="L17" s="249">
        <f>-Antecedentes!M28</f>
        <v>-1000000</v>
      </c>
      <c r="M17" s="52"/>
      <c r="N17" s="258" t="str">
        <f>'ANEXO N°1 (DDJJ 1847 y 1926)'!B201</f>
        <v>5.01.01.05</v>
      </c>
      <c r="O17" s="244">
        <v>2</v>
      </c>
      <c r="P17" s="259" t="str">
        <f>VLOOKUP(N17,'ANEXO N°1 (DDJJ 1847 y 1926)'!$B:$C,2,0)</f>
        <v>Dividendos o Retiros percibidos contabilizados en ingresos según registros contables</v>
      </c>
      <c r="Q17" s="50"/>
    </row>
    <row r="18" spans="1:17" x14ac:dyDescent="0.25">
      <c r="A18" s="239"/>
      <c r="B18" s="238" t="s">
        <v>55</v>
      </c>
      <c r="C18" s="244">
        <f>+'R12'!J40</f>
        <v>1176</v>
      </c>
      <c r="D18" s="54" t="s">
        <v>1244</v>
      </c>
      <c r="E18" s="54"/>
      <c r="F18" s="73"/>
      <c r="G18" s="52"/>
      <c r="H18" s="73"/>
      <c r="I18" s="73"/>
      <c r="J18" s="72"/>
      <c r="K18" s="255"/>
      <c r="L18" s="249">
        <f>-Antecedentes!M36</f>
        <v>-2800000</v>
      </c>
      <c r="M18" s="52"/>
      <c r="N18" s="258" t="str">
        <f>'ANEXO N°1 (DDJJ 1847 y 1926)'!B226</f>
        <v>5.01.03.03</v>
      </c>
      <c r="O18" s="244">
        <v>2</v>
      </c>
      <c r="P18" s="259" t="str">
        <f>VLOOKUP(N18,'ANEXO N°1 (DDJJ 1847 y 1926)'!$B:$C,2,0)</f>
        <v>Castigo deudores incobrables Art.31 Inciso 4 N°4  &gt; 365 días</v>
      </c>
      <c r="Q18" s="50"/>
    </row>
    <row r="19" spans="1:17" x14ac:dyDescent="0.25">
      <c r="A19" s="239"/>
      <c r="B19" s="238" t="s">
        <v>55</v>
      </c>
      <c r="C19" s="244">
        <f>+'R12'!J46</f>
        <v>1682</v>
      </c>
      <c r="D19" s="52" t="str">
        <f>+D8</f>
        <v>25.04; Pago que no se ha acreditado la naturaleza ni efectividad, actualizados</v>
      </c>
      <c r="E19" s="54"/>
      <c r="F19" s="73"/>
      <c r="G19" s="52"/>
      <c r="H19" s="73"/>
      <c r="I19" s="73"/>
      <c r="J19" s="72" t="s">
        <v>57</v>
      </c>
      <c r="K19" s="255"/>
      <c r="L19" s="249">
        <f>-L8</f>
        <v>-777295</v>
      </c>
      <c r="M19" s="52"/>
      <c r="N19" s="258" t="str">
        <f>+N8</f>
        <v>5.03.05.02</v>
      </c>
      <c r="O19" s="244">
        <v>2</v>
      </c>
      <c r="P19" s="259" t="str">
        <f>VLOOKUP(N19,'ANEXO N°1 (DDJJ 1847 y 1926)'!$B:$C,2,0)</f>
        <v>Gastos No Documentados</v>
      </c>
      <c r="Q19" s="50"/>
    </row>
    <row r="20" spans="1:17" x14ac:dyDescent="0.25">
      <c r="A20" s="239"/>
      <c r="B20" s="238" t="s">
        <v>55</v>
      </c>
      <c r="C20" s="244">
        <f>+'R12'!J47</f>
        <v>1683</v>
      </c>
      <c r="D20" s="54" t="str">
        <f>+D10</f>
        <v xml:space="preserve">15.12; Colegiatura del hijo de la socia Srta. Arriagada </v>
      </c>
      <c r="E20" s="54"/>
      <c r="F20" s="73"/>
      <c r="G20" s="52"/>
      <c r="H20" s="73"/>
      <c r="I20" s="73"/>
      <c r="J20" s="72" t="s">
        <v>58</v>
      </c>
      <c r="K20" s="255"/>
      <c r="L20" s="249">
        <f>-L10</f>
        <v>-3000000</v>
      </c>
      <c r="M20" s="52"/>
      <c r="N20" s="258" t="str">
        <f>'ANEXO N°1 (DDJJ 1847 y 1926)'!B446</f>
        <v>5.03.04.99</v>
      </c>
      <c r="O20" s="244">
        <v>2</v>
      </c>
      <c r="P20" s="259" t="str">
        <f>VLOOKUP(N20,'ANEXO N°1 (DDJJ 1847 y 1926)'!$B:$C,2,0)</f>
        <v xml:space="preserve">Otras deducciones al resultado tributario </v>
      </c>
      <c r="Q20" s="50"/>
    </row>
    <row r="21" spans="1:17" ht="17.25" customHeight="1" x14ac:dyDescent="0.25">
      <c r="A21" s="239"/>
      <c r="B21" s="238"/>
      <c r="C21" s="245"/>
      <c r="D21" s="72"/>
      <c r="E21" s="54"/>
      <c r="F21" s="73"/>
      <c r="G21" s="73"/>
      <c r="H21" s="73"/>
      <c r="I21" s="73"/>
      <c r="J21" s="292" t="s">
        <v>49</v>
      </c>
      <c r="K21" s="293" t="s">
        <v>59</v>
      </c>
      <c r="L21" s="249"/>
      <c r="M21" s="52"/>
      <c r="N21" s="258"/>
      <c r="O21" s="257"/>
      <c r="P21" s="259"/>
      <c r="Q21" s="50"/>
    </row>
    <row r="22" spans="1:17" x14ac:dyDescent="0.25">
      <c r="A22" s="239"/>
      <c r="B22" s="245" t="s">
        <v>55</v>
      </c>
      <c r="C22" s="244">
        <f>+'R12'!J25</f>
        <v>1673</v>
      </c>
      <c r="D22" s="247" t="s">
        <v>1245</v>
      </c>
      <c r="E22" s="198"/>
      <c r="F22" s="248"/>
      <c r="G22" s="248"/>
      <c r="H22" s="248"/>
      <c r="I22" s="248"/>
      <c r="J22" s="248">
        <f>+Antecedentes!M23</f>
        <v>115653480</v>
      </c>
      <c r="K22" s="227">
        <f>+Antecedentes!M49</f>
        <v>3.4000000000000002E-2</v>
      </c>
      <c r="L22" s="250">
        <f>-ROUND(+J22*K22,0)</f>
        <v>-3932218</v>
      </c>
      <c r="M22" s="259"/>
      <c r="N22" s="258" t="str">
        <f>'ANEXO N°1 (DDJJ 1847 y 1926)'!B397</f>
        <v>5.01.15.01</v>
      </c>
      <c r="O22" s="244">
        <v>2</v>
      </c>
      <c r="P22" s="257" t="str">
        <f>VLOOKUP(N22,'ANEXO N°1 (DDJJ 1847 y 1926)'!$B:$C,2,0)</f>
        <v>Corr.mon. del capital propio, Art. 41 inciso 1 N°1</v>
      </c>
      <c r="Q22" s="50"/>
    </row>
    <row r="23" spans="1:17" ht="15.75" thickBot="1" x14ac:dyDescent="0.3">
      <c r="A23" s="239"/>
      <c r="B23" s="290"/>
      <c r="C23" s="291"/>
      <c r="D23" s="296" t="s">
        <v>60</v>
      </c>
      <c r="E23" s="283"/>
      <c r="F23" s="284"/>
      <c r="G23" s="284"/>
      <c r="H23" s="284"/>
      <c r="I23" s="284"/>
      <c r="J23" s="284"/>
      <c r="K23" s="285"/>
      <c r="L23" s="353">
        <f>SUM(L15:L22)</f>
        <v>-11509513</v>
      </c>
      <c r="M23" s="259"/>
      <c r="N23" s="257"/>
      <c r="O23" s="257"/>
      <c r="P23" s="257"/>
      <c r="Q23" s="50"/>
    </row>
    <row r="24" spans="1:17" s="13" customFormat="1" ht="20.25" customHeight="1" thickTop="1" x14ac:dyDescent="0.25">
      <c r="A24" s="347"/>
      <c r="B24" s="362" t="s">
        <v>61</v>
      </c>
      <c r="C24" s="360"/>
      <c r="D24" s="282" t="s">
        <v>62</v>
      </c>
      <c r="E24" s="344"/>
      <c r="F24" s="317"/>
      <c r="G24" s="317"/>
      <c r="H24" s="317"/>
      <c r="I24" s="317"/>
      <c r="J24" s="317"/>
      <c r="K24" s="318"/>
      <c r="L24" s="338">
        <f>+L23+L14+L4</f>
        <v>99289909</v>
      </c>
      <c r="M24" s="348"/>
      <c r="N24" s="349"/>
      <c r="O24" s="349"/>
      <c r="P24" s="349"/>
      <c r="Q24" s="350"/>
    </row>
    <row r="25" spans="1:17" ht="15.75" thickBot="1" x14ac:dyDescent="0.3">
      <c r="A25" s="50"/>
      <c r="B25" s="361" t="s">
        <v>55</v>
      </c>
      <c r="C25" s="359">
        <f>+'R12'!J56</f>
        <v>1154</v>
      </c>
      <c r="D25" s="351" t="s">
        <v>63</v>
      </c>
      <c r="E25" s="286"/>
      <c r="F25" s="286"/>
      <c r="G25" s="286"/>
      <c r="H25" s="286"/>
      <c r="I25" s="286"/>
      <c r="J25" s="286"/>
      <c r="K25" s="352"/>
      <c r="L25" s="353">
        <f>-L41</f>
        <v>-10098976</v>
      </c>
      <c r="M25" s="52"/>
      <c r="N25" s="266" t="str">
        <f>'ANEXO N°1 (DDJJ 1847 y 1926)'!B439</f>
        <v>5.03.04.20</v>
      </c>
      <c r="O25" s="267">
        <v>4</v>
      </c>
      <c r="P25" s="268" t="str">
        <f>VLOOKUP(N25,'ANEXO N°1 (DDJJ 1847 y 1926)'!$B:$C,2,0)</f>
        <v>Deduccion 50% RLI (14 E)</v>
      </c>
      <c r="Q25" s="50"/>
    </row>
    <row r="26" spans="1:17" ht="15.75" thickTop="1" x14ac:dyDescent="0.25">
      <c r="A26" s="50"/>
      <c r="B26" s="354" t="s">
        <v>64</v>
      </c>
      <c r="C26" s="354"/>
      <c r="D26" s="355" t="s">
        <v>65</v>
      </c>
      <c r="E26" s="356"/>
      <c r="F26" s="356"/>
      <c r="G26" s="356"/>
      <c r="H26" s="356"/>
      <c r="I26" s="356"/>
      <c r="J26" s="356"/>
      <c r="K26" s="357"/>
      <c r="L26" s="527">
        <f>+L24+L25</f>
        <v>89190933</v>
      </c>
      <c r="M26" s="52"/>
      <c r="N26" s="52"/>
      <c r="O26" s="62"/>
      <c r="P26" s="52"/>
      <c r="Q26" s="50"/>
    </row>
    <row r="27" spans="1:17" x14ac:dyDescent="0.25">
      <c r="A27" s="50"/>
      <c r="B27" s="264" t="s">
        <v>64</v>
      </c>
      <c r="C27" s="264"/>
      <c r="D27" s="265" t="s">
        <v>1309</v>
      </c>
      <c r="E27" s="260"/>
      <c r="F27" s="260"/>
      <c r="G27" s="260"/>
      <c r="H27" s="260"/>
      <c r="I27" s="260"/>
      <c r="J27" s="260"/>
      <c r="K27" s="537">
        <v>0.27</v>
      </c>
      <c r="L27" s="528">
        <f>ROUND(+L26*K27,0)</f>
        <v>24081552</v>
      </c>
      <c r="M27" s="52"/>
      <c r="N27" s="62"/>
      <c r="O27" s="52"/>
      <c r="P27" s="52"/>
      <c r="Q27" s="50"/>
    </row>
    <row r="28" spans="1:17" x14ac:dyDescent="0.25">
      <c r="A28" s="50"/>
      <c r="B28" s="74"/>
      <c r="C28" s="74"/>
      <c r="D28" s="76"/>
      <c r="E28" s="52"/>
      <c r="F28" s="52"/>
      <c r="G28" s="52"/>
      <c r="H28" s="52"/>
      <c r="I28" s="52"/>
      <c r="J28" s="52"/>
      <c r="K28" s="77"/>
      <c r="L28" s="77"/>
      <c r="M28" s="52"/>
      <c r="N28" s="52"/>
      <c r="O28" s="52"/>
      <c r="P28" s="73"/>
      <c r="Q28" s="50"/>
    </row>
    <row r="29" spans="1:17" x14ac:dyDescent="0.25">
      <c r="A29" s="50"/>
      <c r="B29" s="263" t="s">
        <v>64</v>
      </c>
      <c r="C29" s="263"/>
      <c r="D29" s="281" t="s">
        <v>66</v>
      </c>
      <c r="E29" s="242"/>
      <c r="F29" s="242"/>
      <c r="G29" s="242"/>
      <c r="H29" s="242"/>
      <c r="I29" s="242"/>
      <c r="J29" s="242"/>
      <c r="K29" s="358"/>
      <c r="L29" s="528">
        <f>-L19</f>
        <v>777295</v>
      </c>
      <c r="M29" s="52"/>
      <c r="N29" s="52"/>
      <c r="O29" s="62"/>
      <c r="P29" s="52"/>
      <c r="Q29" s="50"/>
    </row>
    <row r="30" spans="1:17" x14ac:dyDescent="0.25">
      <c r="A30" s="50"/>
      <c r="B30" s="264" t="s">
        <v>64</v>
      </c>
      <c r="C30" s="264"/>
      <c r="D30" s="265" t="s">
        <v>67</v>
      </c>
      <c r="E30" s="260"/>
      <c r="F30" s="260"/>
      <c r="G30" s="260"/>
      <c r="H30" s="260"/>
      <c r="I30" s="260"/>
      <c r="J30" s="260"/>
      <c r="K30" s="537">
        <v>0.4</v>
      </c>
      <c r="L30" s="261">
        <f>ROUND(+L29*K30,0)</f>
        <v>310918</v>
      </c>
      <c r="M30" s="52"/>
      <c r="N30" s="52"/>
      <c r="O30" s="52"/>
      <c r="P30" s="52"/>
      <c r="Q30" s="50"/>
    </row>
    <row r="31" spans="1:17" x14ac:dyDescent="0.25">
      <c r="A31" s="50"/>
      <c r="B31" s="74"/>
      <c r="C31" s="74"/>
      <c r="D31" s="76"/>
      <c r="E31" s="52"/>
      <c r="F31" s="52"/>
      <c r="G31" s="52"/>
      <c r="H31" s="52"/>
      <c r="I31" s="52"/>
      <c r="J31" s="52"/>
      <c r="K31" s="77"/>
      <c r="L31" s="77"/>
      <c r="M31" s="52"/>
      <c r="N31" s="52"/>
      <c r="O31" s="52"/>
      <c r="P31" s="52"/>
      <c r="Q31" s="50"/>
    </row>
    <row r="32" spans="1:17" x14ac:dyDescent="0.25">
      <c r="A32" s="50"/>
      <c r="B32" s="263" t="s">
        <v>64</v>
      </c>
      <c r="C32" s="262"/>
      <c r="D32" s="280" t="s">
        <v>68</v>
      </c>
      <c r="E32" s="242"/>
      <c r="F32" s="242"/>
      <c r="G32" s="242"/>
      <c r="H32" s="242"/>
      <c r="I32" s="242"/>
      <c r="J32" s="242"/>
      <c r="K32" s="242"/>
      <c r="L32" s="529">
        <f>-L20</f>
        <v>3000000</v>
      </c>
      <c r="M32" s="52"/>
      <c r="N32" s="52"/>
      <c r="O32" s="62"/>
      <c r="P32" s="52"/>
      <c r="Q32" s="50"/>
    </row>
    <row r="33" spans="1:17" x14ac:dyDescent="0.25">
      <c r="A33" s="50"/>
      <c r="B33" s="52"/>
      <c r="C33" s="52"/>
      <c r="D33" s="52"/>
      <c r="E33" s="52"/>
      <c r="F33" s="52"/>
      <c r="G33" s="52"/>
      <c r="H33" s="52"/>
      <c r="I33" s="52"/>
      <c r="J33" s="52"/>
      <c r="K33" s="78"/>
      <c r="L33" s="78"/>
      <c r="M33" s="52"/>
      <c r="N33" s="52"/>
      <c r="O33" s="52"/>
      <c r="P33" s="52"/>
      <c r="Q33" s="50"/>
    </row>
    <row r="34" spans="1:17" ht="21.75" customHeight="1" x14ac:dyDescent="0.25">
      <c r="A34" s="50"/>
      <c r="B34" s="598" t="s">
        <v>69</v>
      </c>
      <c r="C34" s="599"/>
      <c r="D34" s="599"/>
      <c r="E34" s="599"/>
      <c r="F34" s="599"/>
      <c r="G34" s="599"/>
      <c r="H34" s="599"/>
      <c r="I34" s="599"/>
      <c r="J34" s="599"/>
      <c r="K34" s="599"/>
      <c r="L34" s="600"/>
      <c r="M34" s="52"/>
      <c r="N34" s="52"/>
      <c r="O34" s="52"/>
      <c r="P34" s="52"/>
      <c r="Q34" s="50"/>
    </row>
    <row r="35" spans="1:17" x14ac:dyDescent="0.25">
      <c r="A35" s="50"/>
      <c r="B35" s="269" t="s">
        <v>1231</v>
      </c>
      <c r="C35" s="72"/>
      <c r="D35" s="72"/>
      <c r="E35" s="60"/>
      <c r="F35" s="76"/>
      <c r="G35" s="76"/>
      <c r="H35" s="76"/>
      <c r="I35" s="76"/>
      <c r="J35" s="76"/>
      <c r="K35" s="272"/>
      <c r="L35" s="273">
        <f>+L24</f>
        <v>99289909</v>
      </c>
      <c r="M35" s="52"/>
      <c r="N35" s="52"/>
      <c r="O35" s="52"/>
      <c r="P35" s="52"/>
      <c r="Q35" s="50"/>
    </row>
    <row r="36" spans="1:17" x14ac:dyDescent="0.25">
      <c r="A36" s="50"/>
      <c r="B36" s="269" t="s">
        <v>1232</v>
      </c>
      <c r="C36" s="72"/>
      <c r="D36" s="72"/>
      <c r="E36" s="60"/>
      <c r="F36" s="76"/>
      <c r="G36" s="76"/>
      <c r="H36" s="76"/>
      <c r="I36" s="76"/>
      <c r="J36" s="76"/>
      <c r="K36" s="274"/>
      <c r="L36" s="273">
        <f>-K13</f>
        <v>-61284000</v>
      </c>
      <c r="M36" s="52"/>
      <c r="N36" s="52"/>
      <c r="O36" s="52"/>
      <c r="P36" s="52"/>
      <c r="Q36" s="50"/>
    </row>
    <row r="37" spans="1:17" x14ac:dyDescent="0.25">
      <c r="A37" s="50"/>
      <c r="B37" s="269" t="s">
        <v>1233</v>
      </c>
      <c r="C37" s="72"/>
      <c r="D37" s="72"/>
      <c r="E37" s="60"/>
      <c r="F37" s="76"/>
      <c r="G37" s="76"/>
      <c r="H37" s="76"/>
      <c r="I37" s="76"/>
      <c r="J37" s="76"/>
      <c r="K37" s="274"/>
      <c r="L37" s="273">
        <f>-L6</f>
        <v>-50296</v>
      </c>
      <c r="M37" s="52"/>
      <c r="N37" s="52"/>
      <c r="O37" s="52"/>
      <c r="P37" s="52"/>
      <c r="Q37" s="50"/>
    </row>
    <row r="38" spans="1:17" x14ac:dyDescent="0.25">
      <c r="A38" s="50"/>
      <c r="B38" s="270" t="s">
        <v>1310</v>
      </c>
      <c r="C38" s="74"/>
      <c r="D38" s="72"/>
      <c r="E38" s="60"/>
      <c r="F38" s="76"/>
      <c r="G38" s="76"/>
      <c r="H38" s="76"/>
      <c r="I38" s="76"/>
      <c r="J38" s="76"/>
      <c r="K38" s="274"/>
      <c r="L38" s="273">
        <f>-L7</f>
        <v>-201181</v>
      </c>
      <c r="M38" s="52"/>
      <c r="N38" s="52"/>
      <c r="O38" s="52"/>
      <c r="P38" s="52"/>
      <c r="Q38" s="50"/>
    </row>
    <row r="39" spans="1:17" x14ac:dyDescent="0.25">
      <c r="A39" s="50"/>
      <c r="B39" s="269" t="s">
        <v>1234</v>
      </c>
      <c r="C39" s="72"/>
      <c r="D39" s="72"/>
      <c r="E39" s="60"/>
      <c r="F39" s="76"/>
      <c r="G39" s="76"/>
      <c r="H39" s="76"/>
      <c r="I39" s="76"/>
      <c r="J39" s="76"/>
      <c r="K39" s="274"/>
      <c r="L39" s="273">
        <f>-L9</f>
        <v>-17556480</v>
      </c>
      <c r="M39" s="52"/>
      <c r="N39" s="52"/>
      <c r="O39" s="52"/>
      <c r="P39" s="52"/>
      <c r="Q39" s="50"/>
    </row>
    <row r="40" spans="1:17" ht="15.75" thickBot="1" x14ac:dyDescent="0.3">
      <c r="A40" s="50"/>
      <c r="B40" s="339" t="s">
        <v>1235</v>
      </c>
      <c r="C40" s="296"/>
      <c r="D40" s="296"/>
      <c r="E40" s="340"/>
      <c r="F40" s="341"/>
      <c r="G40" s="341"/>
      <c r="H40" s="341"/>
      <c r="I40" s="341"/>
      <c r="J40" s="341"/>
      <c r="K40" s="342"/>
      <c r="L40" s="343">
        <f>SUM(L35:L39)</f>
        <v>20197952</v>
      </c>
      <c r="M40" s="153">
        <v>0.5</v>
      </c>
      <c r="N40" s="154">
        <f>5000*Antecedentes!M55</f>
        <v>198639800</v>
      </c>
      <c r="P40" s="52"/>
      <c r="Q40" s="50"/>
    </row>
    <row r="41" spans="1:17" ht="15.75" thickTop="1" x14ac:dyDescent="0.25">
      <c r="A41" s="50"/>
      <c r="B41" s="601" t="s">
        <v>70</v>
      </c>
      <c r="C41" s="602"/>
      <c r="D41" s="602"/>
      <c r="E41" s="602"/>
      <c r="F41" s="602"/>
      <c r="G41" s="602"/>
      <c r="H41" s="602"/>
      <c r="I41" s="602"/>
      <c r="J41" s="602"/>
      <c r="K41" s="603"/>
      <c r="L41" s="607">
        <f>MIN(MAX(ROUND(+M40*L40,0),0),N40)</f>
        <v>10098976</v>
      </c>
      <c r="M41" s="52"/>
      <c r="N41" s="52"/>
      <c r="O41" s="52"/>
      <c r="P41" s="52"/>
      <c r="Q41" s="50"/>
    </row>
    <row r="42" spans="1:17" ht="9.75" customHeight="1" x14ac:dyDescent="0.25">
      <c r="A42" s="50"/>
      <c r="B42" s="604"/>
      <c r="C42" s="605"/>
      <c r="D42" s="605"/>
      <c r="E42" s="605"/>
      <c r="F42" s="605"/>
      <c r="G42" s="605"/>
      <c r="H42" s="605"/>
      <c r="I42" s="605"/>
      <c r="J42" s="605"/>
      <c r="K42" s="606"/>
      <c r="L42" s="608"/>
      <c r="M42" s="52"/>
      <c r="P42" s="52"/>
      <c r="Q42" s="50"/>
    </row>
    <row r="43" spans="1:17" x14ac:dyDescent="0.25">
      <c r="A43" s="50"/>
      <c r="B43" s="52"/>
      <c r="C43" s="52"/>
      <c r="D43" s="52"/>
      <c r="E43" s="52"/>
      <c r="F43" s="52"/>
      <c r="G43" s="52"/>
      <c r="H43" s="52"/>
      <c r="I43" s="52"/>
      <c r="J43" s="52"/>
      <c r="K43" s="78"/>
      <c r="L43" s="78"/>
      <c r="M43" s="52"/>
      <c r="N43" s="52"/>
      <c r="O43" s="52"/>
      <c r="P43" s="52"/>
      <c r="Q43" s="50"/>
    </row>
    <row r="44" spans="1:17" x14ac:dyDescent="0.25">
      <c r="A44" s="50"/>
      <c r="B44" s="52"/>
      <c r="C44" s="52"/>
      <c r="D44" s="52"/>
      <c r="E44" s="52"/>
      <c r="F44" s="52"/>
      <c r="G44" s="52"/>
      <c r="H44" s="52"/>
      <c r="I44" s="52"/>
      <c r="J44" s="52"/>
      <c r="K44" s="78"/>
      <c r="L44" s="78"/>
      <c r="M44" s="52"/>
      <c r="N44" s="52"/>
      <c r="O44" s="52"/>
      <c r="P44" s="52"/>
      <c r="Q44" s="50"/>
    </row>
    <row r="45" spans="1:17" x14ac:dyDescent="0.25">
      <c r="A45" s="50"/>
      <c r="B45" s="52"/>
      <c r="C45" s="52"/>
      <c r="D45" s="52"/>
      <c r="E45" s="52"/>
      <c r="F45" s="52"/>
      <c r="G45" s="52"/>
      <c r="H45" s="52"/>
      <c r="I45" s="52"/>
      <c r="J45" s="52"/>
      <c r="K45" s="78"/>
      <c r="L45" s="78"/>
      <c r="M45" s="52"/>
      <c r="N45" s="52"/>
      <c r="O45" s="52"/>
      <c r="P45" s="52"/>
      <c r="Q45" s="50"/>
    </row>
    <row r="46" spans="1:17" x14ac:dyDescent="0.25">
      <c r="A46" s="50"/>
      <c r="B46" s="52"/>
      <c r="C46" s="52"/>
      <c r="D46" s="52"/>
      <c r="E46" s="52"/>
      <c r="F46" s="52"/>
      <c r="G46" s="52"/>
      <c r="H46" s="52"/>
      <c r="I46" s="52"/>
      <c r="J46" s="52"/>
      <c r="K46" s="78"/>
      <c r="L46" s="78"/>
      <c r="M46" s="52"/>
      <c r="N46" s="52"/>
      <c r="O46" s="52"/>
      <c r="P46" s="52"/>
      <c r="Q46" s="50"/>
    </row>
    <row r="47" spans="1:17" x14ac:dyDescent="0.25">
      <c r="A47" s="50"/>
      <c r="B47" s="52"/>
      <c r="C47" s="52"/>
      <c r="D47" s="52"/>
      <c r="E47" s="52"/>
      <c r="F47" s="52"/>
      <c r="G47" s="52"/>
      <c r="H47" s="52"/>
      <c r="I47" s="52"/>
      <c r="J47" s="52"/>
      <c r="K47" s="78"/>
      <c r="L47" s="78"/>
      <c r="M47" s="52"/>
      <c r="N47" s="52"/>
      <c r="O47" s="52"/>
      <c r="P47" s="52"/>
      <c r="Q47" s="50"/>
    </row>
    <row r="48" spans="1:17" x14ac:dyDescent="0.25">
      <c r="A48" s="50"/>
      <c r="B48" s="52"/>
      <c r="C48" s="52"/>
      <c r="D48" s="52"/>
      <c r="E48" s="52"/>
      <c r="F48" s="52"/>
      <c r="G48" s="52"/>
      <c r="H48" s="52"/>
      <c r="I48" s="52"/>
      <c r="J48" s="52"/>
      <c r="K48" s="78"/>
      <c r="L48" s="78"/>
      <c r="M48" s="52"/>
      <c r="N48" s="52"/>
      <c r="O48" s="52"/>
      <c r="P48" s="52"/>
      <c r="Q48" s="50"/>
    </row>
    <row r="49" spans="1:17" x14ac:dyDescent="0.25">
      <c r="A49" s="50"/>
      <c r="B49" s="50"/>
      <c r="C49" s="50"/>
      <c r="D49" s="50"/>
      <c r="E49" s="50"/>
      <c r="F49" s="50"/>
      <c r="G49" s="50"/>
      <c r="H49" s="50"/>
      <c r="I49" s="50"/>
      <c r="J49" s="50"/>
      <c r="K49" s="51"/>
      <c r="L49" s="51"/>
      <c r="M49" s="50"/>
      <c r="N49" s="50"/>
      <c r="O49" s="50"/>
      <c r="P49" s="50"/>
      <c r="Q49" s="50"/>
    </row>
    <row r="50" spans="1:17" x14ac:dyDescent="0.25">
      <c r="A50" s="50"/>
      <c r="B50" s="50"/>
      <c r="C50" s="50"/>
      <c r="D50" s="50"/>
      <c r="E50" s="50"/>
      <c r="F50" s="50"/>
      <c r="G50" s="50"/>
      <c r="H50" s="50"/>
      <c r="I50" s="50"/>
      <c r="J50" s="50"/>
      <c r="K50" s="51"/>
      <c r="L50" s="51"/>
      <c r="M50" s="50"/>
      <c r="N50" s="50"/>
      <c r="O50" s="50"/>
      <c r="P50" s="50"/>
      <c r="Q50" s="50"/>
    </row>
    <row r="51" spans="1:17" x14ac:dyDescent="0.25">
      <c r="A51" s="50"/>
      <c r="B51" s="50"/>
      <c r="C51" s="50"/>
      <c r="D51" s="50"/>
      <c r="E51" s="50"/>
      <c r="F51" s="50"/>
      <c r="G51" s="50"/>
      <c r="H51" s="50"/>
      <c r="I51" s="50"/>
      <c r="J51" s="50"/>
      <c r="K51" s="51"/>
      <c r="L51" s="51"/>
      <c r="M51" s="50"/>
      <c r="N51" s="50"/>
      <c r="O51" s="50"/>
      <c r="P51" s="50"/>
      <c r="Q51" s="50"/>
    </row>
    <row r="52" spans="1:17" x14ac:dyDescent="0.25">
      <c r="A52" s="50"/>
      <c r="B52" s="50"/>
      <c r="C52" s="50"/>
      <c r="D52" s="50"/>
      <c r="E52" s="50"/>
      <c r="F52" s="50"/>
      <c r="G52" s="50"/>
      <c r="H52" s="50"/>
      <c r="I52" s="50"/>
      <c r="J52" s="50"/>
      <c r="K52" s="51"/>
      <c r="L52" s="51"/>
      <c r="M52" s="50"/>
      <c r="N52" s="50"/>
      <c r="O52" s="50"/>
      <c r="P52" s="50"/>
      <c r="Q52" s="50"/>
    </row>
    <row r="53" spans="1:17" x14ac:dyDescent="0.25">
      <c r="A53" s="50"/>
      <c r="B53" s="50"/>
      <c r="C53" s="50"/>
      <c r="D53" s="50"/>
      <c r="E53" s="50"/>
      <c r="F53" s="50"/>
      <c r="G53" s="50"/>
      <c r="H53" s="50"/>
      <c r="I53" s="50"/>
      <c r="J53" s="50"/>
      <c r="K53" s="51"/>
      <c r="L53" s="51"/>
      <c r="M53" s="50"/>
      <c r="N53" s="50"/>
      <c r="O53" s="50"/>
      <c r="P53" s="50"/>
      <c r="Q53" s="50"/>
    </row>
    <row r="55" spans="1:17" x14ac:dyDescent="0.25">
      <c r="D55" s="88"/>
    </row>
  </sheetData>
  <mergeCells count="7">
    <mergeCell ref="N2:P2"/>
    <mergeCell ref="B2:C3"/>
    <mergeCell ref="B34:L34"/>
    <mergeCell ref="B41:K42"/>
    <mergeCell ref="L41:L42"/>
    <mergeCell ref="D2:K3"/>
    <mergeCell ref="L2:L3"/>
  </mergeCells>
  <phoneticPr fontId="27" type="noConversion"/>
  <pageMargins left="0.51181102362204722" right="0.15748031496062992" top="0.70866141732283472" bottom="0.47244094488188981" header="0.23622047244094491" footer="0.27559055118110237"/>
  <pageSetup scale="70" orientation="portrait" r:id="rId1"/>
  <colBreaks count="1" manualBreakCount="1">
    <brk id="15" max="1048575" man="1"/>
  </colBreaks>
  <drawing r:id="rId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45"/>
  <sheetViews>
    <sheetView showGridLines="0" zoomScale="80" zoomScaleNormal="80" zoomScalePageLayoutView="90" workbookViewId="0"/>
  </sheetViews>
  <sheetFormatPr baseColWidth="10" defaultColWidth="8.7109375" defaultRowHeight="15" x14ac:dyDescent="0.25"/>
  <cols>
    <col min="1" max="1" width="4.28515625" customWidth="1"/>
    <col min="2" max="2" width="12.28515625" style="1" customWidth="1"/>
    <col min="3" max="3" width="16" style="1" customWidth="1"/>
    <col min="4" max="4" width="10.42578125" style="1" customWidth="1"/>
    <col min="5" max="5" width="13.85546875" style="46" customWidth="1"/>
    <col min="6" max="6" width="14.7109375" style="1" customWidth="1"/>
    <col min="7" max="7" width="12.42578125" style="1" customWidth="1"/>
    <col min="8" max="8" width="11.42578125" style="1" customWidth="1"/>
    <col min="9" max="9" width="11.7109375" style="1" customWidth="1"/>
    <col min="10" max="10" width="12.7109375" style="1" bestFit="1" customWidth="1"/>
    <col min="11" max="11" width="11.28515625" style="1" customWidth="1"/>
    <col min="12" max="12" width="11.140625" style="1" customWidth="1"/>
    <col min="13" max="13" width="14.5703125" style="1" customWidth="1"/>
    <col min="14" max="14" width="12" style="1" customWidth="1"/>
    <col min="15" max="15" width="13.5703125" style="1" customWidth="1"/>
    <col min="16" max="16" width="13.42578125" style="1" customWidth="1"/>
    <col min="17" max="17" width="14.42578125" style="1" customWidth="1"/>
    <col min="18" max="18" width="11.42578125" style="1" customWidth="1"/>
    <col min="19" max="19" width="8.7109375" style="1"/>
    <col min="20" max="20" width="12.7109375" bestFit="1" customWidth="1"/>
    <col min="22" max="22" width="13.42578125" customWidth="1"/>
    <col min="23" max="23" width="16.42578125" customWidth="1"/>
    <col min="24" max="24" width="11.42578125" customWidth="1"/>
    <col min="25" max="25" width="11.140625" bestFit="1" customWidth="1"/>
  </cols>
  <sheetData>
    <row r="1" spans="1:19" x14ac:dyDescent="0.25">
      <c r="B1" s="377"/>
      <c r="C1" s="198"/>
      <c r="D1" s="198"/>
      <c r="E1" s="198"/>
      <c r="F1" s="198"/>
      <c r="G1" s="198"/>
      <c r="H1" s="198"/>
      <c r="I1" s="198"/>
      <c r="J1" s="198"/>
      <c r="K1" s="198"/>
      <c r="L1" s="198"/>
      <c r="M1" s="198"/>
      <c r="N1" s="198"/>
      <c r="O1" s="198"/>
      <c r="P1" s="198"/>
      <c r="Q1" s="198"/>
      <c r="R1" s="198"/>
      <c r="S1" s="54"/>
    </row>
    <row r="2" spans="1:19" ht="22.5" customHeight="1" x14ac:dyDescent="0.25">
      <c r="A2" s="376"/>
      <c r="B2" s="617" t="s">
        <v>1271</v>
      </c>
      <c r="C2" s="617"/>
      <c r="D2" s="617"/>
      <c r="E2" s="617"/>
      <c r="F2" s="617"/>
      <c r="G2" s="617"/>
      <c r="H2" s="617"/>
      <c r="I2" s="617"/>
      <c r="J2" s="617"/>
      <c r="K2" s="617"/>
      <c r="L2" s="617"/>
      <c r="M2" s="617"/>
      <c r="N2" s="617"/>
      <c r="O2" s="617"/>
      <c r="P2" s="617"/>
      <c r="Q2" s="617"/>
      <c r="R2" s="617"/>
      <c r="S2" s="203"/>
    </row>
    <row r="3" spans="1:19" x14ac:dyDescent="0.25">
      <c r="B3" s="625" t="s">
        <v>9</v>
      </c>
      <c r="C3" s="626"/>
      <c r="D3" s="626"/>
      <c r="E3" s="627"/>
      <c r="F3" s="635" t="s">
        <v>71</v>
      </c>
      <c r="G3" s="638" t="s">
        <v>10</v>
      </c>
      <c r="H3" s="538" t="s">
        <v>11</v>
      </c>
      <c r="I3" s="541" t="s">
        <v>12</v>
      </c>
      <c r="J3" s="542"/>
      <c r="K3" s="542"/>
      <c r="L3" s="543"/>
      <c r="M3" s="641" t="s">
        <v>13</v>
      </c>
      <c r="N3" s="626"/>
      <c r="O3" s="626"/>
      <c r="P3" s="626"/>
      <c r="Q3" s="626"/>
      <c r="R3" s="642"/>
      <c r="S3" s="54"/>
    </row>
    <row r="4" spans="1:19" ht="42.75" customHeight="1" x14ac:dyDescent="0.25">
      <c r="B4" s="628"/>
      <c r="C4" s="629"/>
      <c r="D4" s="629"/>
      <c r="E4" s="630"/>
      <c r="F4" s="636"/>
      <c r="G4" s="639"/>
      <c r="H4" s="539"/>
      <c r="I4" s="538" t="s">
        <v>14</v>
      </c>
      <c r="J4" s="655" t="s">
        <v>1301</v>
      </c>
      <c r="K4" s="580" t="s">
        <v>15</v>
      </c>
      <c r="L4" s="655" t="s">
        <v>16</v>
      </c>
      <c r="M4" s="646" t="s">
        <v>17</v>
      </c>
      <c r="N4" s="647"/>
      <c r="O4" s="647"/>
      <c r="P4" s="648"/>
      <c r="Q4" s="217" t="s">
        <v>18</v>
      </c>
      <c r="R4" s="538" t="s">
        <v>19</v>
      </c>
      <c r="S4" s="54"/>
    </row>
    <row r="5" spans="1:19" ht="26.25" customHeight="1" x14ac:dyDescent="0.25">
      <c r="B5" s="628"/>
      <c r="C5" s="629"/>
      <c r="D5" s="629"/>
      <c r="E5" s="630"/>
      <c r="F5" s="636"/>
      <c r="G5" s="639"/>
      <c r="H5" s="539"/>
      <c r="I5" s="539"/>
      <c r="J5" s="656"/>
      <c r="K5" s="581"/>
      <c r="L5" s="656"/>
      <c r="M5" s="573" t="s">
        <v>20</v>
      </c>
      <c r="N5" s="624"/>
      <c r="O5" s="574"/>
      <c r="P5" s="643" t="s">
        <v>72</v>
      </c>
      <c r="Q5" s="217" t="s">
        <v>20</v>
      </c>
      <c r="R5" s="539"/>
      <c r="S5" s="54"/>
    </row>
    <row r="6" spans="1:19" x14ac:dyDescent="0.25">
      <c r="B6" s="628"/>
      <c r="C6" s="629"/>
      <c r="D6" s="629"/>
      <c r="E6" s="630"/>
      <c r="F6" s="636"/>
      <c r="G6" s="639"/>
      <c r="H6" s="539"/>
      <c r="I6" s="539"/>
      <c r="J6" s="656"/>
      <c r="K6" s="581"/>
      <c r="L6" s="656"/>
      <c r="M6" s="646" t="s">
        <v>21</v>
      </c>
      <c r="N6" s="648"/>
      <c r="O6" s="218">
        <v>0.369863</v>
      </c>
      <c r="P6" s="644"/>
      <c r="Q6" s="321">
        <f>Antecedentes!L20</f>
        <v>0</v>
      </c>
      <c r="R6" s="539"/>
      <c r="S6" s="54"/>
    </row>
    <row r="7" spans="1:19" ht="25.5" x14ac:dyDescent="0.25">
      <c r="B7" s="628"/>
      <c r="C7" s="629"/>
      <c r="D7" s="629"/>
      <c r="E7" s="630"/>
      <c r="F7" s="636"/>
      <c r="G7" s="639"/>
      <c r="H7" s="539"/>
      <c r="I7" s="539"/>
      <c r="J7" s="656"/>
      <c r="K7" s="581"/>
      <c r="L7" s="656"/>
      <c r="M7" s="220" t="s">
        <v>73</v>
      </c>
      <c r="N7" s="649" t="s">
        <v>23</v>
      </c>
      <c r="O7" s="645"/>
      <c r="P7" s="645"/>
      <c r="Q7" s="634" t="s">
        <v>24</v>
      </c>
      <c r="R7" s="539"/>
      <c r="S7" s="54"/>
    </row>
    <row r="8" spans="1:19" ht="25.5" x14ac:dyDescent="0.25">
      <c r="B8" s="631"/>
      <c r="C8" s="632"/>
      <c r="D8" s="632"/>
      <c r="E8" s="633"/>
      <c r="F8" s="637"/>
      <c r="G8" s="640"/>
      <c r="H8" s="540"/>
      <c r="I8" s="540"/>
      <c r="J8" s="579"/>
      <c r="K8" s="582"/>
      <c r="L8" s="579"/>
      <c r="M8" s="220" t="s">
        <v>24</v>
      </c>
      <c r="N8" s="220" t="s">
        <v>74</v>
      </c>
      <c r="O8" s="221" t="s">
        <v>24</v>
      </c>
      <c r="P8" s="221" t="s">
        <v>74</v>
      </c>
      <c r="Q8" s="582"/>
      <c r="R8" s="540"/>
      <c r="S8" s="54"/>
    </row>
    <row r="9" spans="1:19" x14ac:dyDescent="0.25">
      <c r="B9" s="203" t="s">
        <v>1251</v>
      </c>
      <c r="C9" s="54"/>
      <c r="D9" s="54"/>
      <c r="E9" s="54"/>
      <c r="F9" s="208">
        <f>SUM(G9:L9)</f>
        <v>12985640</v>
      </c>
      <c r="G9" s="54">
        <f>+Antecedentes!G21</f>
        <v>12728890</v>
      </c>
      <c r="H9" s="208">
        <f>+Antecedentes!H21</f>
        <v>82160</v>
      </c>
      <c r="I9" s="208">
        <f>+Antecedentes!I21</f>
        <v>0</v>
      </c>
      <c r="J9" s="202">
        <f>+Antecedentes!J21</f>
        <v>0</v>
      </c>
      <c r="K9" s="208">
        <f>+Antecedentes!K21</f>
        <v>51350</v>
      </c>
      <c r="L9" s="202">
        <f>+Antecedentes!L21</f>
        <v>123240</v>
      </c>
      <c r="M9" s="209">
        <f>+Antecedentes!M21</f>
        <v>0</v>
      </c>
      <c r="N9" s="209">
        <v>0</v>
      </c>
      <c r="O9" s="310">
        <f>+Antecedentes!N21</f>
        <v>-92466</v>
      </c>
      <c r="P9" s="204">
        <v>0</v>
      </c>
      <c r="Q9" s="209">
        <f>+Antecedentes!O21</f>
        <v>0</v>
      </c>
      <c r="R9" s="204">
        <f>+Antecedentes!P21</f>
        <v>0</v>
      </c>
      <c r="S9" s="54"/>
    </row>
    <row r="10" spans="1:19" x14ac:dyDescent="0.25">
      <c r="B10" s="203" t="s">
        <v>75</v>
      </c>
      <c r="C10" s="54"/>
      <c r="D10" s="54"/>
      <c r="E10" s="304">
        <f>Antecedentes!M49</f>
        <v>3.4000000000000002E-2</v>
      </c>
      <c r="F10" s="209">
        <f>SUM(G10:L10)</f>
        <v>441511</v>
      </c>
      <c r="G10" s="54">
        <f>ROUND(G9*$E$10,0)</f>
        <v>432782</v>
      </c>
      <c r="H10" s="209">
        <f>ROUND(H9*$E$10,0)</f>
        <v>2793</v>
      </c>
      <c r="I10" s="209">
        <f t="shared" ref="I10:R10" si="0">ROUND(I9*$E$10,0)</f>
        <v>0</v>
      </c>
      <c r="J10" s="204">
        <f t="shared" si="0"/>
        <v>0</v>
      </c>
      <c r="K10" s="209">
        <f>ROUND(K9*$E$10,0)</f>
        <v>1746</v>
      </c>
      <c r="L10" s="204">
        <f>ROUND(L9*$E$10,0)</f>
        <v>4190</v>
      </c>
      <c r="M10" s="209">
        <f t="shared" si="0"/>
        <v>0</v>
      </c>
      <c r="N10" s="209">
        <f t="shared" ref="N10:P10" si="1">ROUND(N9*$E$10,0)</f>
        <v>0</v>
      </c>
      <c r="O10" s="310">
        <f>ROUND(O9*$E$10,0)</f>
        <v>-3144</v>
      </c>
      <c r="P10" s="204">
        <f t="shared" si="1"/>
        <v>0</v>
      </c>
      <c r="Q10" s="209">
        <f>ROUND(Q9*$E$10,0)</f>
        <v>0</v>
      </c>
      <c r="R10" s="204">
        <f t="shared" si="0"/>
        <v>0</v>
      </c>
      <c r="S10" s="54"/>
    </row>
    <row r="11" spans="1:19" x14ac:dyDescent="0.25">
      <c r="B11" s="311" t="s">
        <v>1252</v>
      </c>
      <c r="C11" s="276"/>
      <c r="D11" s="276"/>
      <c r="E11" s="276"/>
      <c r="F11" s="312">
        <f>SUM(G11:L11)</f>
        <v>13427151</v>
      </c>
      <c r="G11" s="276">
        <f>SUM(G9:G10)</f>
        <v>13161672</v>
      </c>
      <c r="H11" s="312">
        <f>SUM(H9:H10)</f>
        <v>84953</v>
      </c>
      <c r="I11" s="312">
        <f t="shared" ref="I11:R11" si="2">SUM(I9:I10)</f>
        <v>0</v>
      </c>
      <c r="J11" s="313">
        <f t="shared" si="2"/>
        <v>0</v>
      </c>
      <c r="K11" s="312">
        <f>SUM(K9:K10)</f>
        <v>53096</v>
      </c>
      <c r="L11" s="313">
        <f>SUM(L9:L10)</f>
        <v>127430</v>
      </c>
      <c r="M11" s="312">
        <f t="shared" si="2"/>
        <v>0</v>
      </c>
      <c r="N11" s="312">
        <f t="shared" ref="N11:P11" si="3">SUM(N9:N10)</f>
        <v>0</v>
      </c>
      <c r="O11" s="314">
        <f>SUM(O9:O10)</f>
        <v>-95610</v>
      </c>
      <c r="P11" s="313">
        <f t="shared" si="3"/>
        <v>0</v>
      </c>
      <c r="Q11" s="312">
        <f>SUM(Q9:Q10)</f>
        <v>0</v>
      </c>
      <c r="R11" s="313">
        <f t="shared" si="2"/>
        <v>0</v>
      </c>
      <c r="S11" s="60"/>
    </row>
    <row r="12" spans="1:19" ht="4.5" customHeight="1" x14ac:dyDescent="0.25">
      <c r="B12" s="300"/>
      <c r="C12" s="60"/>
      <c r="D12" s="60"/>
      <c r="E12" s="60"/>
      <c r="F12" s="305"/>
      <c r="G12" s="60"/>
      <c r="H12" s="305"/>
      <c r="I12" s="305"/>
      <c r="J12" s="309"/>
      <c r="K12" s="305"/>
      <c r="L12" s="309"/>
      <c r="M12" s="305"/>
      <c r="N12" s="305"/>
      <c r="O12" s="309"/>
      <c r="P12" s="309"/>
      <c r="Q12" s="305"/>
      <c r="R12" s="309"/>
      <c r="S12" s="60"/>
    </row>
    <row r="13" spans="1:19" x14ac:dyDescent="0.25">
      <c r="B13" s="301" t="s">
        <v>1256</v>
      </c>
      <c r="C13" s="73"/>
      <c r="D13" s="73"/>
      <c r="E13" s="73"/>
      <c r="F13" s="306">
        <f>SUM(G13:L13)</f>
        <v>-13161672</v>
      </c>
      <c r="G13" s="73">
        <f>-G11</f>
        <v>-13161672</v>
      </c>
      <c r="H13" s="306"/>
      <c r="I13" s="306"/>
      <c r="J13" s="255"/>
      <c r="K13" s="306"/>
      <c r="L13" s="255"/>
      <c r="M13" s="306"/>
      <c r="N13" s="306"/>
      <c r="O13" s="255"/>
      <c r="P13" s="255"/>
      <c r="Q13" s="306"/>
      <c r="R13" s="255"/>
      <c r="S13" s="54"/>
    </row>
    <row r="14" spans="1:19" x14ac:dyDescent="0.25">
      <c r="B14" s="302" t="s">
        <v>1253</v>
      </c>
      <c r="C14" s="303"/>
      <c r="D14" s="73"/>
      <c r="E14" s="73"/>
      <c r="F14" s="306">
        <f ca="1">SUM(G14:L14)</f>
        <v>80382996</v>
      </c>
      <c r="G14" s="73">
        <f ca="1">+'RAI Final'!F8</f>
        <v>80382996</v>
      </c>
      <c r="H14" s="306"/>
      <c r="I14" s="306"/>
      <c r="J14" s="255"/>
      <c r="K14" s="306"/>
      <c r="L14" s="255"/>
      <c r="M14" s="306"/>
      <c r="N14" s="306"/>
      <c r="O14" s="255"/>
      <c r="P14" s="255"/>
      <c r="Q14" s="306"/>
      <c r="R14" s="255"/>
      <c r="S14" s="54"/>
    </row>
    <row r="15" spans="1:19" x14ac:dyDescent="0.25">
      <c r="B15" s="301" t="s">
        <v>1254</v>
      </c>
      <c r="C15" s="73"/>
      <c r="D15" s="73"/>
      <c r="E15" s="73"/>
      <c r="F15" s="306"/>
      <c r="G15" s="73"/>
      <c r="H15" s="306"/>
      <c r="I15" s="306"/>
      <c r="J15" s="255"/>
      <c r="K15" s="306"/>
      <c r="L15" s="255"/>
      <c r="M15" s="306"/>
      <c r="N15" s="335">
        <f>'Crédito IPE'!K38</f>
        <v>3399428</v>
      </c>
      <c r="O15" s="256">
        <f>+RLI!L27-N15</f>
        <v>20682124</v>
      </c>
      <c r="P15" s="255">
        <f>'Crédito IPE'!K40</f>
        <v>1130242</v>
      </c>
      <c r="Q15" s="306"/>
      <c r="R15" s="255"/>
      <c r="S15" s="54"/>
    </row>
    <row r="16" spans="1:19" x14ac:dyDescent="0.25">
      <c r="B16" s="301" t="s">
        <v>1255</v>
      </c>
      <c r="C16" s="73"/>
      <c r="D16" s="73"/>
      <c r="E16" s="73"/>
      <c r="F16" s="306"/>
      <c r="G16" s="73"/>
      <c r="H16" s="306"/>
      <c r="I16" s="306"/>
      <c r="J16" s="255"/>
      <c r="K16" s="306"/>
      <c r="L16" s="255"/>
      <c r="M16" s="306"/>
      <c r="N16" s="306"/>
      <c r="O16" s="256">
        <f>Antecedentes!M29</f>
        <v>142857</v>
      </c>
      <c r="P16" s="255"/>
      <c r="Q16" s="306"/>
      <c r="R16" s="255"/>
      <c r="S16" s="54"/>
    </row>
    <row r="17" spans="2:24" ht="4.5" customHeight="1" x14ac:dyDescent="0.25">
      <c r="B17" s="301"/>
      <c r="C17" s="73"/>
      <c r="D17" s="73"/>
      <c r="E17" s="73"/>
      <c r="F17" s="306"/>
      <c r="G17" s="73"/>
      <c r="H17" s="306"/>
      <c r="I17" s="306"/>
      <c r="J17" s="255"/>
      <c r="K17" s="306"/>
      <c r="L17" s="255"/>
      <c r="M17" s="306"/>
      <c r="N17" s="306"/>
      <c r="O17" s="255"/>
      <c r="P17" s="255"/>
      <c r="Q17" s="306"/>
      <c r="R17" s="255"/>
      <c r="S17" s="54"/>
    </row>
    <row r="18" spans="2:24" x14ac:dyDescent="0.25">
      <c r="B18" s="618" t="s">
        <v>1257</v>
      </c>
      <c r="C18" s="619"/>
      <c r="D18" s="619"/>
      <c r="E18" s="620"/>
      <c r="F18" s="315">
        <f t="shared" ref="F18:R18" ca="1" si="4">SUM(F11:F16)</f>
        <v>80648475</v>
      </c>
      <c r="G18" s="277">
        <f t="shared" ca="1" si="4"/>
        <v>80382996</v>
      </c>
      <c r="H18" s="315">
        <f t="shared" si="4"/>
        <v>84953</v>
      </c>
      <c r="I18" s="315">
        <f t="shared" si="4"/>
        <v>0</v>
      </c>
      <c r="J18" s="278">
        <f t="shared" si="4"/>
        <v>0</v>
      </c>
      <c r="K18" s="315">
        <f t="shared" si="4"/>
        <v>53096</v>
      </c>
      <c r="L18" s="278">
        <f t="shared" si="4"/>
        <v>127430</v>
      </c>
      <c r="M18" s="315">
        <f t="shared" si="4"/>
        <v>0</v>
      </c>
      <c r="N18" s="315">
        <f t="shared" si="4"/>
        <v>3399428</v>
      </c>
      <c r="O18" s="278">
        <f>SUM(O11:O16)</f>
        <v>20729371</v>
      </c>
      <c r="P18" s="278">
        <f t="shared" si="4"/>
        <v>1130242</v>
      </c>
      <c r="Q18" s="315">
        <f t="shared" si="4"/>
        <v>0</v>
      </c>
      <c r="R18" s="278">
        <f t="shared" si="4"/>
        <v>0</v>
      </c>
      <c r="S18" s="60"/>
    </row>
    <row r="19" spans="2:24" x14ac:dyDescent="0.25">
      <c r="B19" s="301" t="s">
        <v>76</v>
      </c>
      <c r="C19" s="73"/>
      <c r="D19" s="73"/>
      <c r="E19" s="73"/>
      <c r="F19" s="306"/>
      <c r="G19" s="73"/>
      <c r="H19" s="306"/>
      <c r="I19" s="306"/>
      <c r="J19" s="255"/>
      <c r="K19" s="306"/>
      <c r="L19" s="255"/>
      <c r="M19" s="306"/>
      <c r="N19" s="306"/>
      <c r="O19" s="255"/>
      <c r="P19" s="255"/>
      <c r="Q19" s="306"/>
      <c r="R19" s="255"/>
      <c r="S19" s="54"/>
    </row>
    <row r="20" spans="2:24" x14ac:dyDescent="0.25">
      <c r="B20" s="301" t="s">
        <v>1260</v>
      </c>
      <c r="C20" s="73"/>
      <c r="D20" s="73"/>
      <c r="E20" s="73">
        <f>+Antecedentes!M43</f>
        <v>55188000</v>
      </c>
      <c r="F20" s="307">
        <f>SUM(G20:L20)</f>
        <v>-55188000</v>
      </c>
      <c r="G20" s="308">
        <f>-E20</f>
        <v>-55188000</v>
      </c>
      <c r="H20" s="307"/>
      <c r="I20" s="307"/>
      <c r="J20" s="310"/>
      <c r="K20" s="307"/>
      <c r="L20" s="310"/>
      <c r="M20" s="307"/>
      <c r="N20" s="306">
        <f>ROUND(MAX((G20*O6),-N18),0)</f>
        <v>-3399428</v>
      </c>
      <c r="O20" s="256">
        <f>ROUND(((G20+P20)*O6)-N20,0)</f>
        <v>-17430606</v>
      </c>
      <c r="P20" s="256">
        <f>ROUND(MAX(G20/0.65*8%,-P18),0)</f>
        <v>-1130242</v>
      </c>
      <c r="Q20" s="307"/>
      <c r="R20" s="310"/>
      <c r="S20" s="54"/>
    </row>
    <row r="21" spans="2:24" ht="4.5" customHeight="1" x14ac:dyDescent="0.25">
      <c r="B21" s="301"/>
      <c r="C21" s="73"/>
      <c r="D21" s="73"/>
      <c r="E21" s="73"/>
      <c r="F21" s="307"/>
      <c r="G21" s="308"/>
      <c r="H21" s="307"/>
      <c r="I21" s="307"/>
      <c r="J21" s="310"/>
      <c r="K21" s="307"/>
      <c r="L21" s="310"/>
      <c r="M21" s="307"/>
      <c r="N21" s="307"/>
      <c r="O21" s="310"/>
      <c r="P21" s="310"/>
      <c r="Q21" s="307"/>
      <c r="R21" s="310"/>
      <c r="S21" s="54"/>
      <c r="X21" s="2"/>
    </row>
    <row r="22" spans="2:24" x14ac:dyDescent="0.25">
      <c r="B22" s="301" t="s">
        <v>1261</v>
      </c>
      <c r="C22" s="73"/>
      <c r="D22" s="73"/>
      <c r="E22" s="73">
        <f>Antecedentes!M44</f>
        <v>6096000</v>
      </c>
      <c r="F22" s="307">
        <f>SUM(G22:L22)</f>
        <v>-6096000</v>
      </c>
      <c r="G22" s="308">
        <f>-E22</f>
        <v>-6096000</v>
      </c>
      <c r="H22" s="307"/>
      <c r="I22" s="307"/>
      <c r="J22" s="310"/>
      <c r="K22" s="307"/>
      <c r="L22" s="310"/>
      <c r="M22" s="307"/>
      <c r="N22" s="307"/>
      <c r="O22" s="310">
        <f>ROUND(-MIN(ABS(+G22*O6),(O18+O20)),0)</f>
        <v>-2254685</v>
      </c>
      <c r="P22" s="310"/>
      <c r="Q22" s="307"/>
      <c r="R22" s="310"/>
      <c r="S22" s="54"/>
      <c r="X22" s="2"/>
    </row>
    <row r="23" spans="2:24" x14ac:dyDescent="0.25">
      <c r="B23" s="301"/>
      <c r="C23" s="73"/>
      <c r="D23" s="73"/>
      <c r="E23" s="73"/>
      <c r="F23" s="306"/>
      <c r="G23" s="73"/>
      <c r="H23" s="306"/>
      <c r="I23" s="306"/>
      <c r="J23" s="255"/>
      <c r="K23" s="306"/>
      <c r="L23" s="255"/>
      <c r="M23" s="306"/>
      <c r="N23" s="306"/>
      <c r="O23" s="255"/>
      <c r="P23" s="255"/>
      <c r="Q23" s="306"/>
      <c r="R23" s="255"/>
      <c r="S23" s="54"/>
      <c r="X23" s="2"/>
    </row>
    <row r="24" spans="2:24" x14ac:dyDescent="0.25">
      <c r="B24" s="301" t="s">
        <v>77</v>
      </c>
      <c r="C24" s="73"/>
      <c r="D24" s="73"/>
      <c r="E24" s="73"/>
      <c r="F24" s="306"/>
      <c r="G24" s="73"/>
      <c r="H24" s="306"/>
      <c r="I24" s="306"/>
      <c r="J24" s="255"/>
      <c r="K24" s="306"/>
      <c r="L24" s="255"/>
      <c r="M24" s="306"/>
      <c r="N24" s="306"/>
      <c r="O24" s="255"/>
      <c r="P24" s="255"/>
      <c r="Q24" s="306"/>
      <c r="R24" s="255"/>
      <c r="S24" s="54"/>
      <c r="T24" s="157"/>
      <c r="X24" s="2"/>
    </row>
    <row r="25" spans="2:24" x14ac:dyDescent="0.25">
      <c r="B25" s="301" t="str">
        <f>Antecedentes!C31</f>
        <v>21.03; Multas fiscales, pagadas</v>
      </c>
      <c r="C25" s="73"/>
      <c r="D25" s="73"/>
      <c r="E25" s="73">
        <f>+RLI!L6</f>
        <v>50296</v>
      </c>
      <c r="F25" s="306"/>
      <c r="G25" s="73"/>
      <c r="H25" s="306"/>
      <c r="I25" s="306"/>
      <c r="J25" s="255"/>
      <c r="K25" s="306"/>
      <c r="L25" s="255"/>
      <c r="M25" s="306"/>
      <c r="N25" s="306"/>
      <c r="O25" s="256">
        <f>-ROUND(E25*O6,0)</f>
        <v>-18603</v>
      </c>
      <c r="P25" s="255"/>
      <c r="Q25" s="306"/>
      <c r="R25" s="255"/>
      <c r="S25" s="54"/>
    </row>
    <row r="26" spans="2:24" x14ac:dyDescent="0.25">
      <c r="B26" s="319" t="str">
        <f>Antecedentes!C32</f>
        <v>28.03; Donación Club Rayuela</v>
      </c>
      <c r="C26" s="248"/>
      <c r="D26" s="248"/>
      <c r="E26" s="248">
        <f>+RLI!L7</f>
        <v>201181</v>
      </c>
      <c r="F26" s="320"/>
      <c r="G26" s="248"/>
      <c r="H26" s="320"/>
      <c r="I26" s="320"/>
      <c r="J26" s="199"/>
      <c r="K26" s="320"/>
      <c r="L26" s="199"/>
      <c r="M26" s="320"/>
      <c r="N26" s="320"/>
      <c r="O26" s="295">
        <f>-ROUND(E26*O6,0)</f>
        <v>-74409</v>
      </c>
      <c r="P26" s="199"/>
      <c r="Q26" s="320"/>
      <c r="R26" s="199"/>
      <c r="S26" s="54"/>
      <c r="X26" s="2"/>
    </row>
    <row r="27" spans="2:24" x14ac:dyDescent="0.25">
      <c r="B27" s="621" t="s">
        <v>1259</v>
      </c>
      <c r="C27" s="622"/>
      <c r="D27" s="622"/>
      <c r="E27" s="623"/>
      <c r="F27" s="316">
        <f ca="1">SUM(G27:L27)</f>
        <v>19364475</v>
      </c>
      <c r="G27" s="317">
        <f ca="1">SUM(G18:G26)</f>
        <v>19098996</v>
      </c>
      <c r="H27" s="316">
        <f>SUM(H18:H26)</f>
        <v>84953</v>
      </c>
      <c r="I27" s="316">
        <f t="shared" ref="I27:R27" si="5">SUM(I18:I26)</f>
        <v>0</v>
      </c>
      <c r="J27" s="318">
        <f t="shared" si="5"/>
        <v>0</v>
      </c>
      <c r="K27" s="316">
        <f>SUM(K18:K26)</f>
        <v>53096</v>
      </c>
      <c r="L27" s="318">
        <f>SUM(L18:L26)</f>
        <v>127430</v>
      </c>
      <c r="M27" s="316">
        <f t="shared" si="5"/>
        <v>0</v>
      </c>
      <c r="N27" s="316">
        <f>SUM(N18:N26)</f>
        <v>0</v>
      </c>
      <c r="O27" s="318">
        <f>SUM(O18:O26)</f>
        <v>951068</v>
      </c>
      <c r="P27" s="318">
        <f>SUM(P18:P26)</f>
        <v>0</v>
      </c>
      <c r="Q27" s="316">
        <f t="shared" si="5"/>
        <v>0</v>
      </c>
      <c r="R27" s="318">
        <f t="shared" si="5"/>
        <v>0</v>
      </c>
      <c r="S27" s="54"/>
      <c r="X27" s="2"/>
    </row>
    <row r="28" spans="2:24" x14ac:dyDescent="0.25">
      <c r="B28" s="54"/>
      <c r="C28" s="54"/>
      <c r="D28" s="54"/>
      <c r="E28" s="54"/>
      <c r="F28" s="54"/>
      <c r="G28" s="54"/>
      <c r="H28" s="54"/>
      <c r="I28" s="54"/>
      <c r="J28" s="54"/>
      <c r="K28" s="54"/>
      <c r="L28" s="54"/>
      <c r="M28" s="54"/>
      <c r="N28" s="54"/>
      <c r="O28" s="54"/>
      <c r="P28" s="54"/>
      <c r="Q28" s="54"/>
      <c r="R28" s="54"/>
      <c r="S28" s="54"/>
      <c r="X28" s="2"/>
    </row>
    <row r="29" spans="2:24" x14ac:dyDescent="0.25">
      <c r="B29" s="54"/>
      <c r="C29" s="54"/>
      <c r="D29" s="54"/>
      <c r="E29" s="54"/>
      <c r="F29" s="54"/>
      <c r="G29" s="54"/>
      <c r="H29" s="54"/>
      <c r="I29" s="54"/>
      <c r="J29" s="54"/>
      <c r="K29" s="54"/>
      <c r="L29" s="54"/>
      <c r="M29" s="54"/>
      <c r="N29" s="54"/>
      <c r="O29" s="54"/>
      <c r="P29" s="54"/>
      <c r="Q29" s="54"/>
      <c r="R29" s="54"/>
      <c r="S29" s="54"/>
    </row>
    <row r="30" spans="2:24" x14ac:dyDescent="0.25">
      <c r="B30" s="54"/>
      <c r="C30" s="54"/>
      <c r="D30" s="54"/>
      <c r="E30" s="54"/>
      <c r="F30" s="54"/>
      <c r="G30" s="54"/>
      <c r="H30" s="54"/>
      <c r="I30" s="54"/>
      <c r="J30" s="54"/>
      <c r="K30" s="54"/>
      <c r="L30" s="54"/>
      <c r="M30" s="54"/>
      <c r="N30" s="54"/>
      <c r="O30" s="54"/>
      <c r="P30" s="54"/>
      <c r="Q30" s="54"/>
      <c r="R30" s="54"/>
      <c r="S30" s="54"/>
      <c r="X30" s="2"/>
    </row>
    <row r="31" spans="2:24" x14ac:dyDescent="0.25">
      <c r="B31" s="552"/>
      <c r="C31" s="552"/>
      <c r="D31" s="552"/>
      <c r="E31" s="552"/>
      <c r="F31" s="552"/>
      <c r="G31" s="552"/>
      <c r="H31" s="552"/>
      <c r="I31" s="552"/>
      <c r="J31" s="552"/>
      <c r="K31" s="552"/>
      <c r="L31" s="552"/>
      <c r="M31" s="552"/>
      <c r="N31" s="552"/>
      <c r="O31" s="54"/>
      <c r="P31" s="54"/>
      <c r="Q31" s="54"/>
      <c r="R31" s="54"/>
      <c r="S31" s="54"/>
      <c r="V31" s="47"/>
      <c r="W31" s="47"/>
      <c r="X31" s="48"/>
    </row>
    <row r="32" spans="2:24" x14ac:dyDescent="0.25">
      <c r="B32" s="54"/>
      <c r="C32" s="54"/>
      <c r="D32" s="54"/>
      <c r="E32" s="54"/>
      <c r="F32" s="54"/>
      <c r="G32" s="54"/>
      <c r="H32" s="54"/>
      <c r="I32" s="54"/>
      <c r="J32" s="54"/>
      <c r="K32" s="54"/>
      <c r="L32" s="54"/>
      <c r="M32" s="54"/>
      <c r="N32" s="54"/>
      <c r="O32" s="54"/>
      <c r="P32" s="54"/>
      <c r="Q32" s="54"/>
      <c r="R32" s="54"/>
      <c r="S32" s="54"/>
    </row>
    <row r="33" spans="2:21" ht="48" customHeight="1" x14ac:dyDescent="0.25">
      <c r="B33" s="54"/>
      <c r="C33" s="54"/>
      <c r="D33" s="650" t="s">
        <v>78</v>
      </c>
      <c r="E33" s="651"/>
      <c r="F33" s="651"/>
      <c r="G33" s="643"/>
      <c r="H33" s="646" t="s">
        <v>17</v>
      </c>
      <c r="I33" s="647"/>
      <c r="J33" s="647"/>
      <c r="K33" s="648"/>
      <c r="L33" s="217" t="s">
        <v>18</v>
      </c>
      <c r="M33" s="565" t="s">
        <v>1226</v>
      </c>
      <c r="N33" s="73"/>
      <c r="O33" s="54"/>
      <c r="P33" s="54"/>
      <c r="Q33" s="54"/>
      <c r="R33" s="54"/>
      <c r="S33" s="54"/>
      <c r="T33" s="1"/>
      <c r="U33" s="1"/>
    </row>
    <row r="34" spans="2:21" x14ac:dyDescent="0.25">
      <c r="B34" s="54"/>
      <c r="C34" s="54"/>
      <c r="D34" s="652"/>
      <c r="E34" s="653"/>
      <c r="F34" s="653"/>
      <c r="G34" s="644"/>
      <c r="H34" s="651" t="s">
        <v>21</v>
      </c>
      <c r="I34" s="643"/>
      <c r="J34" s="322">
        <v>0.369863</v>
      </c>
      <c r="K34" s="657" t="s">
        <v>72</v>
      </c>
      <c r="L34" s="321">
        <f>+Q6</f>
        <v>0</v>
      </c>
      <c r="M34" s="568"/>
      <c r="N34" s="73"/>
      <c r="O34" s="54"/>
      <c r="P34" s="54"/>
      <c r="Q34" s="54"/>
      <c r="R34" s="54"/>
      <c r="S34" s="54"/>
      <c r="T34" s="1"/>
      <c r="U34" s="1"/>
    </row>
    <row r="35" spans="2:21" ht="25.5" customHeight="1" x14ac:dyDescent="0.25">
      <c r="B35" s="54"/>
      <c r="C35" s="54"/>
      <c r="D35" s="652"/>
      <c r="E35" s="653"/>
      <c r="F35" s="653"/>
      <c r="G35" s="644"/>
      <c r="H35" s="217" t="s">
        <v>73</v>
      </c>
      <c r="I35" s="219" t="s">
        <v>23</v>
      </c>
      <c r="J35" s="217" t="s">
        <v>23</v>
      </c>
      <c r="K35" s="658"/>
      <c r="L35" s="578" t="s">
        <v>79</v>
      </c>
      <c r="M35" s="568"/>
      <c r="N35" s="73"/>
      <c r="O35" s="54"/>
      <c r="P35" s="54"/>
      <c r="Q35" s="54"/>
      <c r="R35" s="54"/>
      <c r="S35" s="54"/>
      <c r="T35" s="1"/>
      <c r="U35" s="1"/>
    </row>
    <row r="36" spans="2:21" x14ac:dyDescent="0.25">
      <c r="B36" s="54"/>
      <c r="C36" s="54"/>
      <c r="D36" s="654"/>
      <c r="E36" s="649"/>
      <c r="F36" s="649"/>
      <c r="G36" s="645"/>
      <c r="H36" s="220" t="s">
        <v>79</v>
      </c>
      <c r="I36" s="221" t="s">
        <v>80</v>
      </c>
      <c r="J36" s="220" t="s">
        <v>79</v>
      </c>
      <c r="K36" s="221" t="s">
        <v>80</v>
      </c>
      <c r="L36" s="579"/>
      <c r="M36" s="571"/>
      <c r="N36" s="73"/>
      <c r="O36" s="54"/>
      <c r="P36" s="54"/>
      <c r="Q36" s="54"/>
      <c r="R36" s="54"/>
      <c r="S36" s="54"/>
      <c r="T36" s="1"/>
      <c r="U36" s="1"/>
    </row>
    <row r="37" spans="2:21" x14ac:dyDescent="0.25">
      <c r="B37" s="54"/>
      <c r="C37" s="54"/>
      <c r="D37" s="243" t="s">
        <v>48</v>
      </c>
      <c r="E37" s="54" t="s">
        <v>81</v>
      </c>
      <c r="F37" s="54"/>
      <c r="G37" s="202"/>
      <c r="H37" s="306">
        <f>+M11</f>
        <v>0</v>
      </c>
      <c r="I37" s="255">
        <f>+N11</f>
        <v>0</v>
      </c>
      <c r="J37" s="306">
        <f>+O11</f>
        <v>-95610</v>
      </c>
      <c r="K37" s="255">
        <f>+P11</f>
        <v>0</v>
      </c>
      <c r="L37" s="255">
        <f>+Q11</f>
        <v>0</v>
      </c>
      <c r="M37" s="255">
        <f>SUM(H37:L37)</f>
        <v>-95610</v>
      </c>
      <c r="N37" s="73"/>
      <c r="O37" s="54"/>
      <c r="P37" s="54"/>
      <c r="Q37" s="54"/>
      <c r="R37" s="54"/>
      <c r="S37" s="54"/>
      <c r="T37" s="1"/>
      <c r="U37" s="1"/>
    </row>
    <row r="38" spans="2:21" x14ac:dyDescent="0.25">
      <c r="B38" s="54"/>
      <c r="C38" s="54"/>
      <c r="D38" s="244" t="s">
        <v>48</v>
      </c>
      <c r="E38" s="54" t="s">
        <v>82</v>
      </c>
      <c r="F38" s="54"/>
      <c r="G38" s="204"/>
      <c r="H38" s="306">
        <v>0</v>
      </c>
      <c r="I38" s="255">
        <f t="shared" ref="I38:K39" si="6">+N15</f>
        <v>3399428</v>
      </c>
      <c r="J38" s="306">
        <f t="shared" si="6"/>
        <v>20682124</v>
      </c>
      <c r="K38" s="255">
        <f t="shared" si="6"/>
        <v>1130242</v>
      </c>
      <c r="L38" s="255">
        <v>0</v>
      </c>
      <c r="M38" s="255">
        <f>SUM(H38:L38)</f>
        <v>25211794</v>
      </c>
      <c r="N38" s="73"/>
      <c r="O38" s="54"/>
      <c r="P38" s="54"/>
      <c r="Q38" s="54"/>
      <c r="R38" s="54"/>
      <c r="S38" s="54"/>
      <c r="T38" s="1"/>
      <c r="U38" s="1"/>
    </row>
    <row r="39" spans="2:21" ht="15" customHeight="1" x14ac:dyDescent="0.25">
      <c r="B39" s="54"/>
      <c r="C39" s="54"/>
      <c r="D39" s="244" t="s">
        <v>48</v>
      </c>
      <c r="E39" s="54" t="s">
        <v>83</v>
      </c>
      <c r="F39" s="54"/>
      <c r="G39" s="204"/>
      <c r="H39" s="306">
        <v>0</v>
      </c>
      <c r="I39" s="255">
        <f t="shared" si="6"/>
        <v>0</v>
      </c>
      <c r="J39" s="306">
        <f t="shared" si="6"/>
        <v>142857</v>
      </c>
      <c r="K39" s="255">
        <f t="shared" si="6"/>
        <v>0</v>
      </c>
      <c r="L39" s="255">
        <v>0</v>
      </c>
      <c r="M39" s="255">
        <f>SUM(H39:L39)</f>
        <v>142857</v>
      </c>
      <c r="N39" s="54"/>
      <c r="O39" s="54"/>
      <c r="P39" s="54"/>
      <c r="Q39" s="54"/>
      <c r="R39" s="54"/>
      <c r="S39" s="54"/>
      <c r="T39" s="1"/>
      <c r="U39" s="1"/>
    </row>
    <row r="40" spans="2:21" x14ac:dyDescent="0.25">
      <c r="B40" s="54"/>
      <c r="C40" s="54"/>
      <c r="D40" s="244" t="s">
        <v>55</v>
      </c>
      <c r="E40" s="54" t="s">
        <v>84</v>
      </c>
      <c r="F40" s="54"/>
      <c r="G40" s="204"/>
      <c r="H40" s="306">
        <v>0</v>
      </c>
      <c r="I40" s="255">
        <f>+N20</f>
        <v>-3399428</v>
      </c>
      <c r="J40" s="306">
        <f>+O20+O22</f>
        <v>-19685291</v>
      </c>
      <c r="K40" s="255">
        <f>+P20</f>
        <v>-1130242</v>
      </c>
      <c r="L40" s="255">
        <v>0</v>
      </c>
      <c r="M40" s="255">
        <f>SUM(H40:L40)</f>
        <v>-24214961</v>
      </c>
      <c r="N40" s="54"/>
      <c r="O40" s="54"/>
      <c r="P40" s="54"/>
      <c r="Q40" s="54"/>
      <c r="R40" s="54"/>
      <c r="S40" s="54"/>
      <c r="T40" s="1"/>
      <c r="U40" s="1"/>
    </row>
    <row r="41" spans="2:21" ht="15.75" thickBot="1" x14ac:dyDescent="0.3">
      <c r="B41" s="54"/>
      <c r="C41" s="54"/>
      <c r="D41" s="324" t="s">
        <v>55</v>
      </c>
      <c r="E41" s="325" t="s">
        <v>85</v>
      </c>
      <c r="F41" s="325"/>
      <c r="G41" s="326"/>
      <c r="H41" s="323">
        <v>0</v>
      </c>
      <c r="I41" s="327">
        <f>+N26+N25</f>
        <v>0</v>
      </c>
      <c r="J41" s="323">
        <f>+O26+O25</f>
        <v>-93012</v>
      </c>
      <c r="K41" s="327">
        <f>+P26+P25</f>
        <v>0</v>
      </c>
      <c r="L41" s="327">
        <v>0</v>
      </c>
      <c r="M41" s="323">
        <f>SUM(H41:L41)</f>
        <v>-93012</v>
      </c>
      <c r="N41" s="54"/>
      <c r="O41" s="54"/>
      <c r="P41" s="54"/>
      <c r="Q41" s="54"/>
      <c r="R41" s="54"/>
      <c r="S41" s="54"/>
      <c r="T41" s="1"/>
      <c r="U41" s="1"/>
    </row>
    <row r="42" spans="2:21" ht="15.75" thickTop="1" x14ac:dyDescent="0.25">
      <c r="B42" s="54"/>
      <c r="C42" s="54"/>
      <c r="D42" s="246" t="s">
        <v>61</v>
      </c>
      <c r="E42" s="344" t="s">
        <v>86</v>
      </c>
      <c r="F42" s="344"/>
      <c r="G42" s="345"/>
      <c r="H42" s="316">
        <f t="shared" ref="H42:M42" si="7">SUM(H37:H41)</f>
        <v>0</v>
      </c>
      <c r="I42" s="318">
        <f t="shared" si="7"/>
        <v>0</v>
      </c>
      <c r="J42" s="316">
        <f>SUM(J37:J41)</f>
        <v>951068</v>
      </c>
      <c r="K42" s="318">
        <f t="shared" si="7"/>
        <v>0</v>
      </c>
      <c r="L42" s="318">
        <f t="shared" si="7"/>
        <v>0</v>
      </c>
      <c r="M42" s="318">
        <f t="shared" si="7"/>
        <v>951068</v>
      </c>
      <c r="N42" s="54"/>
      <c r="O42" s="54"/>
      <c r="P42" s="54"/>
      <c r="Q42" s="54"/>
      <c r="R42" s="54"/>
      <c r="S42" s="54"/>
      <c r="T42" s="1"/>
      <c r="U42" s="1"/>
    </row>
    <row r="43" spans="2:21" x14ac:dyDescent="0.25">
      <c r="B43" s="54"/>
      <c r="C43" s="54"/>
      <c r="D43" s="54"/>
      <c r="E43" s="54"/>
      <c r="F43" s="54"/>
      <c r="G43" s="54"/>
      <c r="H43" s="54"/>
      <c r="I43" s="54"/>
      <c r="J43" s="54"/>
      <c r="K43" s="54"/>
      <c r="L43" s="54"/>
      <c r="M43" s="54"/>
      <c r="N43" s="54"/>
      <c r="O43" s="54"/>
      <c r="P43" s="54"/>
      <c r="Q43" s="54"/>
      <c r="R43" s="54"/>
      <c r="S43" s="54"/>
    </row>
    <row r="45" spans="2:21" x14ac:dyDescent="0.25">
      <c r="B45" s="24"/>
    </row>
  </sheetData>
  <mergeCells count="27">
    <mergeCell ref="D33:G36"/>
    <mergeCell ref="M33:M36"/>
    <mergeCell ref="L35:L36"/>
    <mergeCell ref="L4:L8"/>
    <mergeCell ref="I4:I8"/>
    <mergeCell ref="J4:J8"/>
    <mergeCell ref="K4:K8"/>
    <mergeCell ref="H33:K33"/>
    <mergeCell ref="H34:I34"/>
    <mergeCell ref="K34:K35"/>
    <mergeCell ref="B31:N31"/>
    <mergeCell ref="B2:R2"/>
    <mergeCell ref="B18:E18"/>
    <mergeCell ref="B27:E27"/>
    <mergeCell ref="R4:R8"/>
    <mergeCell ref="M5:O5"/>
    <mergeCell ref="B3:E8"/>
    <mergeCell ref="Q7:Q8"/>
    <mergeCell ref="F3:F8"/>
    <mergeCell ref="G3:G8"/>
    <mergeCell ref="H3:H8"/>
    <mergeCell ref="I3:L3"/>
    <mergeCell ref="M3:R3"/>
    <mergeCell ref="P5:P7"/>
    <mergeCell ref="M4:P4"/>
    <mergeCell ref="N7:O7"/>
    <mergeCell ref="M6:N6"/>
  </mergeCells>
  <phoneticPr fontId="27" type="noConversion"/>
  <pageMargins left="0.31" right="0.63" top="0.46" bottom="0.45" header="0.31496062992125984" footer="0.31496062992125984"/>
  <rowBreaks count="1" manualBreakCount="1">
    <brk id="28" max="16383" man="1"/>
  </rowBreaks>
  <ignoredErrors>
    <ignoredError sqref="J40" formula="1"/>
  </ignoredErrors>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G19"/>
  <sheetViews>
    <sheetView showGridLines="0" zoomScale="90" zoomScaleNormal="90" zoomScalePageLayoutView="90" workbookViewId="0"/>
  </sheetViews>
  <sheetFormatPr baseColWidth="10" defaultColWidth="9.28515625" defaultRowHeight="15" x14ac:dyDescent="0.25"/>
  <cols>
    <col min="1" max="1" width="4.42578125" style="2" customWidth="1"/>
    <col min="2" max="2" width="10" style="2" customWidth="1"/>
    <col min="3" max="3" width="18" style="2" customWidth="1"/>
    <col min="4" max="4" width="20.7109375" style="2" customWidth="1"/>
    <col min="5" max="5" width="30" style="2" customWidth="1"/>
    <col min="6" max="6" width="13.42578125" style="2" customWidth="1"/>
    <col min="7" max="7" width="15.7109375" style="2" customWidth="1"/>
    <col min="8" max="8" width="12.42578125" style="2" customWidth="1"/>
    <col min="9" max="9" width="6.42578125" style="2" customWidth="1"/>
    <col min="10" max="10" width="10.7109375" style="2" customWidth="1"/>
    <col min="11" max="11" width="11.7109375" style="2" customWidth="1"/>
    <col min="12" max="16384" width="9.28515625" style="2"/>
  </cols>
  <sheetData>
    <row r="2" spans="1:7" ht="19.5" customHeight="1" x14ac:dyDescent="0.25">
      <c r="A2" s="329"/>
      <c r="B2" s="598" t="s">
        <v>1264</v>
      </c>
      <c r="C2" s="599"/>
      <c r="D2" s="599"/>
      <c r="E2" s="599"/>
      <c r="F2" s="600"/>
    </row>
    <row r="3" spans="1:7" x14ac:dyDescent="0.25">
      <c r="A3" s="330"/>
      <c r="B3" s="72"/>
      <c r="C3" s="72"/>
      <c r="D3" s="54"/>
      <c r="E3" s="255"/>
      <c r="F3" s="207" t="s">
        <v>87</v>
      </c>
    </row>
    <row r="4" spans="1:7" x14ac:dyDescent="0.25">
      <c r="A4" s="330"/>
      <c r="B4" s="659" t="s">
        <v>1258</v>
      </c>
      <c r="C4" s="659"/>
      <c r="D4" s="659"/>
      <c r="E4" s="660"/>
      <c r="F4" s="249">
        <f ca="1">+'Razonabilidad CPT'!F14</f>
        <v>139653408</v>
      </c>
    </row>
    <row r="5" spans="1:7" x14ac:dyDescent="0.25">
      <c r="A5" s="330"/>
      <c r="B5" s="72" t="s">
        <v>1265</v>
      </c>
      <c r="C5" s="72"/>
      <c r="D5" s="54"/>
      <c r="E5" s="255"/>
      <c r="F5" s="249">
        <f>+Antecedentes!M45</f>
        <v>61284000</v>
      </c>
    </row>
    <row r="6" spans="1:7" x14ac:dyDescent="0.25">
      <c r="A6" s="330"/>
      <c r="B6" s="659" t="s">
        <v>1307</v>
      </c>
      <c r="C6" s="659"/>
      <c r="D6" s="659"/>
      <c r="E6" s="660"/>
      <c r="F6" s="256">
        <f>-SUM(RTRE!I11:L11)</f>
        <v>-180526</v>
      </c>
      <c r="G6" s="7"/>
    </row>
    <row r="7" spans="1:7" ht="15.75" thickBot="1" x14ac:dyDescent="0.3">
      <c r="A7" s="330"/>
      <c r="B7" s="328" t="s">
        <v>1306</v>
      </c>
      <c r="C7" s="328"/>
      <c r="D7" s="325"/>
      <c r="E7" s="327"/>
      <c r="F7" s="333">
        <f>-Antecedentes!M11</f>
        <v>-120373886</v>
      </c>
    </row>
    <row r="8" spans="1:7" ht="15.75" thickTop="1" x14ac:dyDescent="0.25">
      <c r="A8" s="330"/>
      <c r="B8" s="336" t="s">
        <v>88</v>
      </c>
      <c r="C8" s="331"/>
      <c r="D8" s="332"/>
      <c r="E8" s="334"/>
      <c r="F8" s="337">
        <f ca="1">SUM(F3:F7)</f>
        <v>80382996</v>
      </c>
    </row>
    <row r="9" spans="1:7" ht="15.75" x14ac:dyDescent="0.25">
      <c r="B9" s="8"/>
      <c r="C9" s="4"/>
      <c r="D9" s="5"/>
      <c r="E9" s="6"/>
      <c r="F9" s="9"/>
    </row>
    <row r="12" spans="1:7" x14ac:dyDescent="0.25">
      <c r="B12" s="24"/>
    </row>
    <row r="13" spans="1:7" x14ac:dyDescent="0.25">
      <c r="C13" s="10"/>
      <c r="D13" s="10"/>
      <c r="E13" s="10"/>
    </row>
    <row r="17" spans="3:5" ht="36.75" customHeight="1" x14ac:dyDescent="0.25"/>
    <row r="19" spans="3:5" x14ac:dyDescent="0.25">
      <c r="C19" s="10"/>
      <c r="D19" s="10"/>
      <c r="E19" s="10"/>
    </row>
  </sheetData>
  <mergeCells count="3">
    <mergeCell ref="B2:F2"/>
    <mergeCell ref="B4:E4"/>
    <mergeCell ref="B6:E6"/>
  </mergeCells>
  <phoneticPr fontId="27" type="noConversion"/>
  <pageMargins left="0.70866141732283472" right="0.56000000000000005"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26"/>
  <sheetViews>
    <sheetView showGridLines="0" zoomScale="90" zoomScaleNormal="90" workbookViewId="0"/>
  </sheetViews>
  <sheetFormatPr baseColWidth="10" defaultColWidth="9.28515625" defaultRowHeight="15" x14ac:dyDescent="0.25"/>
  <cols>
    <col min="1" max="1" width="4.42578125" style="2" customWidth="1"/>
    <col min="2" max="2" width="3.28515625" style="2" customWidth="1"/>
    <col min="3" max="3" width="18" style="2" customWidth="1"/>
    <col min="4" max="4" width="64.42578125" style="2" customWidth="1"/>
    <col min="5" max="5" width="5.5703125" style="2" bestFit="1" customWidth="1"/>
    <col min="6" max="7" width="15.7109375" style="2" customWidth="1"/>
    <col min="8" max="8" width="12.42578125" style="2" customWidth="1"/>
    <col min="9" max="9" width="13.42578125" style="2" customWidth="1"/>
    <col min="10" max="10" width="10.7109375" style="2" customWidth="1"/>
    <col min="11" max="11" width="11.7109375" style="2" customWidth="1"/>
    <col min="12" max="16384" width="9.28515625" style="2"/>
  </cols>
  <sheetData>
    <row r="2" spans="1:7" ht="19.5" customHeight="1" x14ac:dyDescent="0.25">
      <c r="A2" s="3"/>
      <c r="B2" s="663" t="s">
        <v>89</v>
      </c>
      <c r="C2" s="664"/>
      <c r="D2" s="664"/>
      <c r="E2" s="664"/>
      <c r="F2" s="665"/>
    </row>
    <row r="3" spans="1:7" x14ac:dyDescent="0.25">
      <c r="B3" s="369"/>
      <c r="C3" s="363"/>
      <c r="D3" s="364"/>
      <c r="E3" s="366"/>
      <c r="F3" s="371" t="s">
        <v>87</v>
      </c>
    </row>
    <row r="4" spans="1:7" x14ac:dyDescent="0.25">
      <c r="B4" s="370" t="s">
        <v>48</v>
      </c>
      <c r="C4" s="666" t="s">
        <v>1269</v>
      </c>
      <c r="D4" s="666"/>
      <c r="E4" s="667"/>
      <c r="F4" s="365">
        <f>+Antecedentes!M23</f>
        <v>115653480</v>
      </c>
    </row>
    <row r="5" spans="1:7" x14ac:dyDescent="0.25">
      <c r="B5" s="370" t="s">
        <v>48</v>
      </c>
      <c r="C5" s="661" t="s">
        <v>1268</v>
      </c>
      <c r="D5" s="661"/>
      <c r="E5" s="367">
        <f>+Antecedentes!M49</f>
        <v>3.4000000000000002E-2</v>
      </c>
      <c r="F5" s="374">
        <f>+ROUND(F4*E5,0)</f>
        <v>3932218</v>
      </c>
      <c r="G5" s="7"/>
    </row>
    <row r="6" spans="1:7" x14ac:dyDescent="0.25">
      <c r="B6" s="370" t="s">
        <v>48</v>
      </c>
      <c r="C6" s="661" t="s">
        <v>1270</v>
      </c>
      <c r="D6" s="661"/>
      <c r="E6" s="662"/>
      <c r="F6" s="365">
        <f ca="1">+'R12'!K58</f>
        <v>89190933</v>
      </c>
      <c r="G6" s="7"/>
    </row>
    <row r="7" spans="1:7" x14ac:dyDescent="0.25">
      <c r="B7" s="370" t="s">
        <v>48</v>
      </c>
      <c r="C7" s="661" t="s">
        <v>1272</v>
      </c>
      <c r="D7" s="661"/>
      <c r="E7" s="662"/>
      <c r="F7" s="374">
        <f>+RLI!L41</f>
        <v>10098976</v>
      </c>
      <c r="G7" s="7"/>
    </row>
    <row r="8" spans="1:7" x14ac:dyDescent="0.25">
      <c r="B8" s="370" t="s">
        <v>48</v>
      </c>
      <c r="C8" s="661" t="s">
        <v>1273</v>
      </c>
      <c r="D8" s="661"/>
      <c r="E8" s="662"/>
      <c r="F8" s="365">
        <f>Antecedentes!M28</f>
        <v>1000000</v>
      </c>
      <c r="G8" s="7"/>
    </row>
    <row r="9" spans="1:7" x14ac:dyDescent="0.25">
      <c r="B9" s="370" t="s">
        <v>55</v>
      </c>
      <c r="C9" s="661" t="s">
        <v>1274</v>
      </c>
      <c r="D9" s="661"/>
      <c r="E9" s="662"/>
      <c r="F9" s="365">
        <f>-'RAI Final'!F5</f>
        <v>-61284000</v>
      </c>
      <c r="G9" s="7"/>
    </row>
    <row r="10" spans="1:7" x14ac:dyDescent="0.25">
      <c r="B10" s="370" t="s">
        <v>55</v>
      </c>
      <c r="C10" s="670" t="s">
        <v>1275</v>
      </c>
      <c r="D10" s="670"/>
      <c r="E10" s="671"/>
      <c r="F10" s="365">
        <f>-RLI!L6</f>
        <v>-50296</v>
      </c>
      <c r="G10" s="7"/>
    </row>
    <row r="11" spans="1:7" x14ac:dyDescent="0.25">
      <c r="B11" s="370" t="s">
        <v>55</v>
      </c>
      <c r="C11" s="670" t="s">
        <v>1276</v>
      </c>
      <c r="D11" s="670"/>
      <c r="E11" s="671"/>
      <c r="F11" s="365">
        <f>-RLI!L7</f>
        <v>-201181</v>
      </c>
      <c r="G11" s="7"/>
    </row>
    <row r="12" spans="1:7" x14ac:dyDescent="0.25">
      <c r="B12" s="370" t="s">
        <v>55</v>
      </c>
      <c r="C12" s="670" t="s">
        <v>1277</v>
      </c>
      <c r="D12" s="670"/>
      <c r="E12" s="671"/>
      <c r="F12" s="365">
        <f>-RLI!L9</f>
        <v>-17556480</v>
      </c>
      <c r="G12" s="7"/>
    </row>
    <row r="13" spans="1:7" ht="15.75" thickBot="1" x14ac:dyDescent="0.3">
      <c r="B13" s="373" t="s">
        <v>55</v>
      </c>
      <c r="C13" s="672" t="s">
        <v>1267</v>
      </c>
      <c r="D13" s="672"/>
      <c r="E13" s="673"/>
      <c r="F13" s="375">
        <f>-'Crédito IPE'!K40</f>
        <v>-1130242</v>
      </c>
      <c r="G13" s="7"/>
    </row>
    <row r="14" spans="1:7" ht="15.75" thickTop="1" x14ac:dyDescent="0.25">
      <c r="B14" s="372" t="s">
        <v>61</v>
      </c>
      <c r="C14" s="668" t="s">
        <v>90</v>
      </c>
      <c r="D14" s="668"/>
      <c r="E14" s="669"/>
      <c r="F14" s="368">
        <f ca="1">SUM(F3:F13)</f>
        <v>139653408</v>
      </c>
    </row>
    <row r="15" spans="1:7" x14ac:dyDescent="0.25">
      <c r="B15" s="86"/>
      <c r="C15" s="86"/>
      <c r="D15" s="86"/>
      <c r="E15" s="86"/>
      <c r="F15" s="86"/>
    </row>
    <row r="16" spans="1:7" x14ac:dyDescent="0.25">
      <c r="B16" s="73"/>
      <c r="C16" s="73"/>
      <c r="D16" s="73"/>
      <c r="E16" s="73"/>
      <c r="F16" s="73"/>
    </row>
    <row r="17" spans="3:5" x14ac:dyDescent="0.25">
      <c r="C17" s="24"/>
    </row>
    <row r="20" spans="3:5" x14ac:dyDescent="0.25">
      <c r="C20" s="10"/>
      <c r="D20" s="10"/>
      <c r="E20" s="10"/>
    </row>
    <row r="24" spans="3:5" ht="36.75" customHeight="1" x14ac:dyDescent="0.25"/>
    <row r="26" spans="3:5" x14ac:dyDescent="0.25">
      <c r="C26" s="10"/>
      <c r="D26" s="10"/>
      <c r="E26" s="10"/>
    </row>
  </sheetData>
  <mergeCells count="12">
    <mergeCell ref="C14:E14"/>
    <mergeCell ref="C10:E10"/>
    <mergeCell ref="C11:E11"/>
    <mergeCell ref="C12:E12"/>
    <mergeCell ref="C13:E13"/>
    <mergeCell ref="C9:E9"/>
    <mergeCell ref="C6:E6"/>
    <mergeCell ref="B2:F2"/>
    <mergeCell ref="C4:E4"/>
    <mergeCell ref="C7:E7"/>
    <mergeCell ref="C8:E8"/>
    <mergeCell ref="C5:D5"/>
  </mergeCells>
  <phoneticPr fontId="27"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R26"/>
  <sheetViews>
    <sheetView showGridLines="0" zoomScale="90" zoomScaleNormal="90" zoomScalePageLayoutView="90" workbookViewId="0"/>
  </sheetViews>
  <sheetFormatPr baseColWidth="10" defaultColWidth="8.7109375" defaultRowHeight="15" x14ac:dyDescent="0.25"/>
  <cols>
    <col min="1" max="1" width="3.5703125" customWidth="1"/>
    <col min="6" max="6" width="13.140625" customWidth="1"/>
    <col min="7" max="7" width="16.28515625" customWidth="1"/>
    <col min="8" max="8" width="13.42578125" bestFit="1" customWidth="1"/>
    <col min="9" max="9" width="0.28515625" customWidth="1"/>
    <col min="12" max="12" width="13.7109375" bestFit="1" customWidth="1"/>
    <col min="15" max="15" width="15.42578125" customWidth="1"/>
    <col min="16" max="16" width="12.7109375" bestFit="1" customWidth="1"/>
    <col min="18" max="18" width="9.7109375" bestFit="1" customWidth="1"/>
  </cols>
  <sheetData>
    <row r="1" spans="2:18" ht="11.25" customHeight="1" x14ac:dyDescent="0.25"/>
    <row r="2" spans="2:18" s="471" customFormat="1" ht="19.5" customHeight="1" x14ac:dyDescent="0.25">
      <c r="B2" s="686" t="s">
        <v>1302</v>
      </c>
      <c r="C2" s="687"/>
      <c r="D2" s="687"/>
      <c r="E2" s="687"/>
      <c r="F2" s="687"/>
      <c r="G2" s="687"/>
      <c r="H2" s="687"/>
      <c r="I2" s="687"/>
      <c r="J2" s="687"/>
      <c r="K2" s="687"/>
      <c r="L2" s="687"/>
      <c r="M2" s="687"/>
      <c r="N2" s="687"/>
      <c r="O2" s="687"/>
      <c r="P2" s="688"/>
      <c r="Q2" s="470"/>
      <c r="R2" s="470"/>
    </row>
    <row r="3" spans="2:18" s="13" customFormat="1" ht="20.25" customHeight="1" x14ac:dyDescent="0.25">
      <c r="B3" s="472" t="s">
        <v>91</v>
      </c>
      <c r="C3" s="473"/>
      <c r="D3" s="474"/>
      <c r="E3" s="474"/>
      <c r="F3" s="474"/>
      <c r="G3" s="474"/>
      <c r="H3" s="475"/>
      <c r="I3" s="60"/>
      <c r="J3" s="472" t="s">
        <v>1308</v>
      </c>
      <c r="K3" s="476"/>
      <c r="L3" s="476"/>
      <c r="M3" s="476"/>
      <c r="N3" s="476"/>
      <c r="O3" s="476"/>
      <c r="P3" s="477"/>
      <c r="Q3" s="478"/>
      <c r="R3" s="478"/>
    </row>
    <row r="4" spans="2:18" x14ac:dyDescent="0.25">
      <c r="B4" s="380" t="s">
        <v>92</v>
      </c>
      <c r="C4" s="378"/>
      <c r="D4" s="379"/>
      <c r="E4" s="379"/>
      <c r="F4" s="379"/>
      <c r="G4" s="379"/>
      <c r="H4" s="382"/>
      <c r="I4" s="54"/>
      <c r="J4" s="380" t="s">
        <v>92</v>
      </c>
      <c r="K4" s="379"/>
      <c r="L4" s="379"/>
      <c r="M4" s="379"/>
      <c r="N4" s="379"/>
      <c r="O4" s="379"/>
      <c r="P4" s="382"/>
      <c r="Q4" s="1"/>
      <c r="R4" s="1"/>
    </row>
    <row r="5" spans="2:18" x14ac:dyDescent="0.25">
      <c r="B5" s="203" t="s">
        <v>1278</v>
      </c>
      <c r="C5" s="54"/>
      <c r="D5" s="54"/>
      <c r="E5" s="54"/>
      <c r="F5" s="54"/>
      <c r="G5" s="204"/>
      <c r="H5" s="204">
        <f>SUM(G6:G9)</f>
        <v>55188000</v>
      </c>
      <c r="I5" s="54"/>
      <c r="J5" s="203" t="s">
        <v>1289</v>
      </c>
      <c r="K5" s="54"/>
      <c r="L5" s="54"/>
      <c r="M5" s="54"/>
      <c r="N5" s="54"/>
      <c r="O5" s="204"/>
      <c r="P5" s="204">
        <f>SUM(O6:O9)</f>
        <v>6096000</v>
      </c>
      <c r="Q5" s="1"/>
      <c r="R5" s="1"/>
    </row>
    <row r="6" spans="2:18" x14ac:dyDescent="0.25">
      <c r="B6" s="203" t="s">
        <v>1279</v>
      </c>
      <c r="C6" s="54"/>
      <c r="D6" s="54"/>
      <c r="E6" s="54"/>
      <c r="F6" s="54"/>
      <c r="G6" s="204">
        <v>0</v>
      </c>
      <c r="H6" s="204"/>
      <c r="I6" s="54"/>
      <c r="J6" s="203" t="s">
        <v>1290</v>
      </c>
      <c r="K6" s="54"/>
      <c r="L6" s="54"/>
      <c r="M6" s="54"/>
      <c r="N6" s="54"/>
      <c r="O6" s="204">
        <v>0</v>
      </c>
      <c r="P6" s="204"/>
      <c r="Q6" s="1"/>
      <c r="R6" s="1"/>
    </row>
    <row r="7" spans="2:18" x14ac:dyDescent="0.25">
      <c r="B7" s="203" t="s">
        <v>1280</v>
      </c>
      <c r="C7" s="54"/>
      <c r="D7" s="54"/>
      <c r="E7" s="54"/>
      <c r="F7" s="54"/>
      <c r="G7" s="204">
        <f>+RTRE!E20</f>
        <v>55188000</v>
      </c>
      <c r="H7" s="204"/>
      <c r="I7" s="54"/>
      <c r="J7" s="203" t="s">
        <v>1280</v>
      </c>
      <c r="K7" s="54"/>
      <c r="L7" s="54"/>
      <c r="M7" s="54"/>
      <c r="N7" s="54"/>
      <c r="O7" s="204">
        <f>RTRE!E22</f>
        <v>6096000</v>
      </c>
      <c r="P7" s="204"/>
      <c r="Q7" s="1"/>
      <c r="R7" s="1"/>
    </row>
    <row r="8" spans="2:18" x14ac:dyDescent="0.25">
      <c r="B8" s="203" t="s">
        <v>1281</v>
      </c>
      <c r="C8" s="54"/>
      <c r="D8" s="54"/>
      <c r="E8" s="54"/>
      <c r="F8" s="54"/>
      <c r="G8" s="204">
        <v>0</v>
      </c>
      <c r="H8" s="204"/>
      <c r="I8" s="54"/>
      <c r="J8" s="203" t="s">
        <v>1281</v>
      </c>
      <c r="K8" s="54"/>
      <c r="L8" s="54"/>
      <c r="M8" s="54"/>
      <c r="N8" s="54"/>
      <c r="O8" s="204">
        <v>0</v>
      </c>
      <c r="P8" s="204"/>
      <c r="Q8" s="1"/>
      <c r="R8" s="1"/>
    </row>
    <row r="9" spans="2:18" x14ac:dyDescent="0.25">
      <c r="B9" s="205" t="s">
        <v>1282</v>
      </c>
      <c r="C9" s="198"/>
      <c r="D9" s="198"/>
      <c r="E9" s="198"/>
      <c r="F9" s="198"/>
      <c r="G9" s="206">
        <v>0</v>
      </c>
      <c r="H9" s="206"/>
      <c r="I9" s="54"/>
      <c r="J9" s="205" t="s">
        <v>1282</v>
      </c>
      <c r="K9" s="198"/>
      <c r="L9" s="198"/>
      <c r="M9" s="198"/>
      <c r="N9" s="198"/>
      <c r="O9" s="206">
        <v>0</v>
      </c>
      <c r="P9" s="206"/>
      <c r="Q9" s="1"/>
      <c r="R9" s="1"/>
    </row>
    <row r="10" spans="2:18" x14ac:dyDescent="0.25">
      <c r="B10" s="203" t="s">
        <v>1283</v>
      </c>
      <c r="C10" s="54"/>
      <c r="D10" s="54"/>
      <c r="E10" s="54"/>
      <c r="F10" s="54"/>
      <c r="G10" s="204"/>
      <c r="H10" s="204">
        <f>SUM(G11:G12)</f>
        <v>0</v>
      </c>
      <c r="I10" s="54"/>
      <c r="J10" s="203" t="s">
        <v>1283</v>
      </c>
      <c r="K10" s="54"/>
      <c r="L10" s="54"/>
      <c r="M10" s="54"/>
      <c r="N10" s="54"/>
      <c r="O10" s="204"/>
      <c r="P10" s="204">
        <f>SUM(O11:O12)</f>
        <v>0</v>
      </c>
      <c r="Q10" s="1"/>
      <c r="R10" s="1"/>
    </row>
    <row r="11" spans="2:18" x14ac:dyDescent="0.25">
      <c r="B11" s="203" t="s">
        <v>1284</v>
      </c>
      <c r="C11" s="54"/>
      <c r="D11" s="54"/>
      <c r="E11" s="54"/>
      <c r="F11" s="54"/>
      <c r="G11" s="204">
        <f>-RTRE!I20</f>
        <v>0</v>
      </c>
      <c r="H11" s="204"/>
      <c r="I11" s="54"/>
      <c r="J11" s="203" t="s">
        <v>1284</v>
      </c>
      <c r="K11" s="54"/>
      <c r="L11" s="54"/>
      <c r="M11" s="54"/>
      <c r="N11" s="54"/>
      <c r="O11" s="204">
        <v>0</v>
      </c>
      <c r="P11" s="204"/>
      <c r="Q11" s="1"/>
      <c r="R11" s="1"/>
    </row>
    <row r="12" spans="2:18" x14ac:dyDescent="0.25">
      <c r="B12" s="205" t="s">
        <v>1285</v>
      </c>
      <c r="C12" s="198"/>
      <c r="D12" s="198"/>
      <c r="E12" s="198"/>
      <c r="F12" s="198"/>
      <c r="G12" s="206">
        <f>-RTRE!J20</f>
        <v>0</v>
      </c>
      <c r="H12" s="206"/>
      <c r="I12" s="54"/>
      <c r="J12" s="205" t="s">
        <v>1285</v>
      </c>
      <c r="K12" s="198"/>
      <c r="L12" s="198"/>
      <c r="M12" s="198"/>
      <c r="N12" s="198"/>
      <c r="O12" s="206">
        <v>0</v>
      </c>
      <c r="P12" s="206"/>
      <c r="Q12" s="1"/>
      <c r="R12" s="1"/>
    </row>
    <row r="13" spans="2:18" x14ac:dyDescent="0.25">
      <c r="B13" s="211" t="s">
        <v>1286</v>
      </c>
      <c r="C13" s="212"/>
      <c r="D13" s="212"/>
      <c r="E13" s="212"/>
      <c r="F13" s="212"/>
      <c r="G13" s="214"/>
      <c r="H13" s="214">
        <v>0</v>
      </c>
      <c r="I13" s="54"/>
      <c r="J13" s="211" t="s">
        <v>1286</v>
      </c>
      <c r="K13" s="212"/>
      <c r="L13" s="212"/>
      <c r="M13" s="212"/>
      <c r="N13" s="212"/>
      <c r="O13" s="214"/>
      <c r="P13" s="214">
        <v>0</v>
      </c>
      <c r="Q13" s="1"/>
      <c r="R13" s="1"/>
    </row>
    <row r="14" spans="2:18" ht="15.75" thickBot="1" x14ac:dyDescent="0.3">
      <c r="B14" s="381" t="s">
        <v>1287</v>
      </c>
      <c r="C14" s="325"/>
      <c r="D14" s="325"/>
      <c r="E14" s="325"/>
      <c r="F14" s="325"/>
      <c r="G14" s="326"/>
      <c r="H14" s="326">
        <v>0</v>
      </c>
      <c r="I14" s="54"/>
      <c r="J14" s="232" t="s">
        <v>1287</v>
      </c>
      <c r="K14" s="233"/>
      <c r="L14" s="233"/>
      <c r="M14" s="233"/>
      <c r="N14" s="233"/>
      <c r="O14" s="234"/>
      <c r="P14" s="234">
        <v>0</v>
      </c>
      <c r="Q14" s="1"/>
      <c r="R14" s="1"/>
    </row>
    <row r="15" spans="2:18" ht="15.75" thickTop="1" x14ac:dyDescent="0.25">
      <c r="B15" s="205" t="s">
        <v>1288</v>
      </c>
      <c r="C15" s="198"/>
      <c r="D15" s="198"/>
      <c r="E15" s="198"/>
      <c r="F15" s="198"/>
      <c r="G15" s="206"/>
      <c r="H15" s="206">
        <f>SUM(H5:H14)</f>
        <v>55188000</v>
      </c>
      <c r="I15" s="54"/>
      <c r="J15" s="205" t="s">
        <v>1291</v>
      </c>
      <c r="K15" s="198"/>
      <c r="L15" s="198"/>
      <c r="M15" s="198"/>
      <c r="N15" s="198"/>
      <c r="O15" s="206"/>
      <c r="P15" s="206">
        <f>SUM(P5:P14)</f>
        <v>6096000</v>
      </c>
      <c r="Q15" s="1"/>
      <c r="R15" s="1"/>
    </row>
    <row r="16" spans="2:18" ht="10.5" customHeight="1" x14ac:dyDescent="0.25">
      <c r="B16" s="54"/>
      <c r="C16" s="54"/>
      <c r="D16" s="54"/>
      <c r="E16" s="54"/>
      <c r="F16" s="54"/>
      <c r="G16" s="54"/>
      <c r="H16" s="54"/>
      <c r="I16" s="54"/>
      <c r="J16" s="54"/>
      <c r="K16" s="54"/>
      <c r="L16" s="54"/>
      <c r="M16" s="54"/>
      <c r="N16" s="54"/>
      <c r="O16" s="54"/>
      <c r="P16" s="54"/>
      <c r="Q16" s="1"/>
      <c r="R16" s="1"/>
    </row>
    <row r="17" spans="2:18" x14ac:dyDescent="0.25">
      <c r="B17" s="380" t="s">
        <v>93</v>
      </c>
      <c r="C17" s="379"/>
      <c r="D17" s="379"/>
      <c r="E17" s="379"/>
      <c r="F17" s="379"/>
      <c r="G17" s="379"/>
      <c r="H17" s="382"/>
      <c r="I17" s="54"/>
      <c r="J17" s="380" t="s">
        <v>93</v>
      </c>
      <c r="K17" s="379"/>
      <c r="L17" s="379"/>
      <c r="M17" s="379"/>
      <c r="N17" s="379"/>
      <c r="O17" s="379"/>
      <c r="P17" s="382"/>
      <c r="Q17" s="1"/>
      <c r="R17" s="1"/>
    </row>
    <row r="18" spans="2:18" x14ac:dyDescent="0.25">
      <c r="B18" s="203" t="s">
        <v>1292</v>
      </c>
      <c r="C18" s="54"/>
      <c r="D18" s="54"/>
      <c r="E18" s="54"/>
      <c r="F18" s="54"/>
      <c r="G18" s="202"/>
      <c r="H18" s="204">
        <f>-RTRE!O20</f>
        <v>17430606</v>
      </c>
      <c r="I18" s="54"/>
      <c r="J18" s="674" t="s">
        <v>1292</v>
      </c>
      <c r="K18" s="675"/>
      <c r="L18" s="675"/>
      <c r="M18" s="675"/>
      <c r="N18" s="675"/>
      <c r="O18" s="676"/>
      <c r="P18" s="204">
        <f>-RTRE!O22</f>
        <v>2254685</v>
      </c>
      <c r="Q18" s="1"/>
      <c r="R18" s="1"/>
    </row>
    <row r="19" spans="2:18" x14ac:dyDescent="0.25">
      <c r="B19" s="211" t="s">
        <v>1293</v>
      </c>
      <c r="C19" s="212"/>
      <c r="D19" s="212"/>
      <c r="E19" s="212"/>
      <c r="F19" s="212"/>
      <c r="G19" s="214"/>
      <c r="H19" s="214">
        <f>-RTRE!N20</f>
        <v>3399428</v>
      </c>
      <c r="I19" s="54"/>
      <c r="J19" s="677" t="s">
        <v>1296</v>
      </c>
      <c r="K19" s="678"/>
      <c r="L19" s="678"/>
      <c r="M19" s="678"/>
      <c r="N19" s="678"/>
      <c r="O19" s="679"/>
      <c r="P19" s="197">
        <v>0</v>
      </c>
      <c r="Q19" s="1"/>
      <c r="R19" s="1"/>
    </row>
    <row r="20" spans="2:18" ht="15.75" thickBot="1" x14ac:dyDescent="0.3">
      <c r="B20" s="232" t="s">
        <v>1294</v>
      </c>
      <c r="C20" s="233"/>
      <c r="D20" s="233"/>
      <c r="E20" s="233"/>
      <c r="F20" s="233"/>
      <c r="G20" s="234"/>
      <c r="H20" s="234">
        <v>0</v>
      </c>
      <c r="I20" s="54"/>
      <c r="J20" s="680" t="s">
        <v>1297</v>
      </c>
      <c r="K20" s="681"/>
      <c r="L20" s="681"/>
      <c r="M20" s="681"/>
      <c r="N20" s="681"/>
      <c r="O20" s="682"/>
      <c r="P20" s="231">
        <v>0</v>
      </c>
      <c r="Q20" s="1"/>
      <c r="R20" s="1"/>
    </row>
    <row r="21" spans="2:18" ht="15.75" thickTop="1" x14ac:dyDescent="0.25">
      <c r="B21" s="205" t="s">
        <v>1295</v>
      </c>
      <c r="C21" s="198"/>
      <c r="D21" s="198"/>
      <c r="E21" s="198"/>
      <c r="F21" s="198"/>
      <c r="G21" s="206"/>
      <c r="H21" s="206">
        <f>SUM(H18:H20)</f>
        <v>20830034</v>
      </c>
      <c r="I21" s="54"/>
      <c r="J21" s="683" t="s">
        <v>1299</v>
      </c>
      <c r="K21" s="684"/>
      <c r="L21" s="684"/>
      <c r="M21" s="684"/>
      <c r="N21" s="684"/>
      <c r="O21" s="685"/>
      <c r="P21" s="206">
        <f>SUM(P18:P20)</f>
        <v>2254685</v>
      </c>
      <c r="Q21" s="1"/>
      <c r="R21" s="1"/>
    </row>
    <row r="22" spans="2:18" x14ac:dyDescent="0.25">
      <c r="B22" s="54"/>
      <c r="C22" s="54"/>
      <c r="D22" s="54"/>
      <c r="E22" s="54"/>
      <c r="F22" s="54"/>
      <c r="G22" s="54"/>
      <c r="H22" s="52"/>
      <c r="I22" s="54"/>
      <c r="J22" s="54"/>
      <c r="K22" s="54"/>
      <c r="L22" s="54"/>
      <c r="M22" s="54"/>
      <c r="N22" s="54"/>
      <c r="O22" s="54"/>
      <c r="P22" s="54"/>
      <c r="Q22" s="1"/>
      <c r="R22" s="1"/>
    </row>
    <row r="23" spans="2:18" x14ac:dyDescent="0.25">
      <c r="B23" s="211" t="s">
        <v>1298</v>
      </c>
      <c r="C23" s="212"/>
      <c r="D23" s="212"/>
      <c r="E23" s="212"/>
      <c r="F23" s="212"/>
      <c r="G23" s="212"/>
      <c r="H23" s="197">
        <f>-RTRE!P20</f>
        <v>1130242</v>
      </c>
      <c r="I23" s="84"/>
      <c r="J23" s="84"/>
      <c r="K23" s="84"/>
      <c r="L23" s="84"/>
      <c r="M23" s="84"/>
      <c r="N23" s="84"/>
      <c r="O23" s="84"/>
      <c r="P23" s="84"/>
    </row>
    <row r="24" spans="2:18" x14ac:dyDescent="0.25">
      <c r="B24" s="84"/>
      <c r="C24" s="84"/>
      <c r="D24" s="84"/>
      <c r="E24" s="84"/>
      <c r="F24" s="84"/>
      <c r="G24" s="84"/>
      <c r="H24" s="84"/>
      <c r="I24" s="84"/>
      <c r="J24" s="84"/>
      <c r="K24" s="84"/>
      <c r="L24" s="84"/>
      <c r="M24" s="84"/>
      <c r="N24" s="84"/>
      <c r="O24" s="84"/>
      <c r="P24" s="84"/>
    </row>
    <row r="26" spans="2:18" x14ac:dyDescent="0.25">
      <c r="B26" s="53"/>
    </row>
  </sheetData>
  <mergeCells count="5">
    <mergeCell ref="J18:O18"/>
    <mergeCell ref="J19:O19"/>
    <mergeCell ref="J20:O20"/>
    <mergeCell ref="J21:O21"/>
    <mergeCell ref="B2:P2"/>
  </mergeCells>
  <phoneticPr fontId="27" type="noConversion"/>
  <pageMargins left="0.32" right="0.70866141732283472" top="0.74803149606299213" bottom="0.74803149606299213" header="0.31496062992125984" footer="0.31496062992125984"/>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5"/>
  <dimension ref="A1:W64"/>
  <sheetViews>
    <sheetView showGridLines="0" zoomScale="90" zoomScaleNormal="90" zoomScalePageLayoutView="90" workbookViewId="0"/>
  </sheetViews>
  <sheetFormatPr baseColWidth="10" defaultColWidth="11.42578125" defaultRowHeight="12.75" x14ac:dyDescent="0.2"/>
  <cols>
    <col min="1" max="1" width="4.42578125" style="159" customWidth="1"/>
    <col min="2" max="3" width="9.28515625" style="159" customWidth="1"/>
    <col min="4" max="4" width="11.28515625" style="159" customWidth="1"/>
    <col min="5" max="6" width="9.28515625" style="159" customWidth="1"/>
    <col min="7" max="7" width="16.85546875" style="159" customWidth="1"/>
    <col min="8" max="9" width="9.28515625" style="159" customWidth="1"/>
    <col min="10" max="10" width="5.5703125" style="159" bestFit="1" customWidth="1"/>
    <col min="11" max="15" width="4.7109375" style="159" customWidth="1"/>
    <col min="16" max="16" width="2.140625" style="159" bestFit="1" customWidth="1"/>
    <col min="17" max="21" width="11.42578125" style="159"/>
    <col min="22" max="22" width="13.7109375" style="159" bestFit="1" customWidth="1"/>
    <col min="23" max="23" width="11.85546875" style="159" bestFit="1" customWidth="1"/>
    <col min="24" max="16384" width="11.42578125" style="159"/>
  </cols>
  <sheetData>
    <row r="1" spans="1:18" x14ac:dyDescent="0.2">
      <c r="A1" s="52"/>
      <c r="B1" s="52"/>
      <c r="C1" s="52"/>
      <c r="D1" s="52"/>
      <c r="E1" s="52"/>
      <c r="F1" s="52"/>
      <c r="G1" s="52"/>
      <c r="H1" s="52"/>
      <c r="I1" s="52"/>
      <c r="J1" s="52"/>
      <c r="K1" s="52"/>
      <c r="L1" s="52"/>
      <c r="M1" s="52"/>
      <c r="N1" s="52"/>
      <c r="O1" s="52"/>
      <c r="P1" s="52"/>
      <c r="Q1" s="52"/>
    </row>
    <row r="2" spans="1:18" ht="18.75" customHeight="1" x14ac:dyDescent="0.2">
      <c r="A2" s="259"/>
      <c r="B2" s="695" t="s">
        <v>94</v>
      </c>
      <c r="C2" s="695"/>
      <c r="D2" s="695"/>
      <c r="E2" s="695"/>
      <c r="F2" s="695"/>
      <c r="G2" s="695"/>
      <c r="H2" s="695"/>
      <c r="I2" s="695"/>
      <c r="J2" s="695"/>
      <c r="K2" s="695"/>
      <c r="L2" s="695"/>
      <c r="M2" s="695"/>
      <c r="N2" s="695"/>
      <c r="O2" s="695"/>
      <c r="P2" s="696"/>
      <c r="Q2" s="160"/>
    </row>
    <row r="3" spans="1:18" x14ac:dyDescent="0.2">
      <c r="A3" s="259"/>
      <c r="B3" s="697"/>
      <c r="C3" s="697"/>
      <c r="D3" s="697"/>
      <c r="E3" s="697"/>
      <c r="F3" s="697"/>
      <c r="G3" s="697"/>
      <c r="H3" s="697"/>
      <c r="I3" s="697"/>
      <c r="J3" s="697"/>
      <c r="K3" s="697"/>
      <c r="L3" s="697"/>
      <c r="M3" s="697"/>
      <c r="N3" s="697"/>
      <c r="O3" s="697"/>
      <c r="P3" s="698"/>
      <c r="Q3" s="160"/>
    </row>
    <row r="4" spans="1:18" ht="18" customHeight="1" x14ac:dyDescent="0.2">
      <c r="A4" s="259"/>
      <c r="B4" s="689" t="s">
        <v>95</v>
      </c>
      <c r="C4" s="690"/>
      <c r="D4" s="690"/>
      <c r="E4" s="690"/>
      <c r="F4" s="690"/>
      <c r="G4" s="690"/>
      <c r="H4" s="690"/>
      <c r="I4" s="690"/>
      <c r="J4" s="690"/>
      <c r="K4" s="690"/>
      <c r="L4" s="690"/>
      <c r="M4" s="690"/>
      <c r="N4" s="690"/>
      <c r="O4" s="690"/>
      <c r="P4" s="691"/>
      <c r="Q4" s="160"/>
    </row>
    <row r="5" spans="1:18" s="162" customFormat="1" ht="17.25" customHeight="1" x14ac:dyDescent="0.2">
      <c r="A5" s="348"/>
      <c r="B5" s="83" t="s">
        <v>96</v>
      </c>
      <c r="C5" s="83"/>
      <c r="D5" s="83"/>
      <c r="E5" s="83"/>
      <c r="F5" s="83"/>
      <c r="G5" s="83"/>
      <c r="H5" s="83"/>
      <c r="I5" s="348"/>
      <c r="J5" s="244">
        <v>1657</v>
      </c>
      <c r="K5" s="699">
        <f>124156117-K6+'Crédito IPE'!J19</f>
        <v>116095312</v>
      </c>
      <c r="L5" s="700"/>
      <c r="M5" s="700"/>
      <c r="N5" s="700"/>
      <c r="O5" s="701"/>
      <c r="P5" s="237" t="s">
        <v>97</v>
      </c>
      <c r="Q5" s="161">
        <f>+IF(K5&gt;0,1,0)</f>
        <v>1</v>
      </c>
    </row>
    <row r="6" spans="1:18" s="162" customFormat="1" ht="17.25" customHeight="1" x14ac:dyDescent="0.2">
      <c r="A6" s="83"/>
      <c r="B6" s="383" t="s">
        <v>98</v>
      </c>
      <c r="C6" s="384"/>
      <c r="D6" s="384"/>
      <c r="E6" s="384"/>
      <c r="F6" s="384"/>
      <c r="G6" s="384"/>
      <c r="H6" s="384"/>
      <c r="I6" s="386"/>
      <c r="J6" s="243">
        <v>1658</v>
      </c>
      <c r="K6" s="702">
        <f>'Crédito IPE'!K13+'Crédito IPE'!J19</f>
        <v>13946029</v>
      </c>
      <c r="L6" s="703"/>
      <c r="M6" s="703"/>
      <c r="N6" s="703"/>
      <c r="O6" s="704"/>
      <c r="P6" s="387" t="s">
        <v>97</v>
      </c>
      <c r="Q6" s="161">
        <f t="shared" ref="Q6:Q54" si="0">+IF(K6&gt;0,1,0)</f>
        <v>1</v>
      </c>
    </row>
    <row r="7" spans="1:18" s="162" customFormat="1" ht="17.25" customHeight="1" x14ac:dyDescent="0.2">
      <c r="A7" s="83"/>
      <c r="B7" s="383" t="s">
        <v>99</v>
      </c>
      <c r="C7" s="384"/>
      <c r="D7" s="384"/>
      <c r="E7" s="384"/>
      <c r="F7" s="384"/>
      <c r="G7" s="384"/>
      <c r="H7" s="384"/>
      <c r="I7" s="386"/>
      <c r="J7" s="243">
        <v>1659</v>
      </c>
      <c r="K7" s="705"/>
      <c r="L7" s="706"/>
      <c r="M7" s="706"/>
      <c r="N7" s="706"/>
      <c r="O7" s="707"/>
      <c r="P7" s="387" t="s">
        <v>97</v>
      </c>
      <c r="Q7" s="161">
        <f t="shared" si="0"/>
        <v>0</v>
      </c>
    </row>
    <row r="8" spans="1:18" s="162" customFormat="1" ht="17.25" customHeight="1" x14ac:dyDescent="0.2">
      <c r="A8" s="83"/>
      <c r="B8" s="389" t="s">
        <v>100</v>
      </c>
      <c r="C8" s="390"/>
      <c r="D8" s="390"/>
      <c r="E8" s="390"/>
      <c r="F8" s="390"/>
      <c r="G8" s="390"/>
      <c r="H8" s="390"/>
      <c r="I8" s="391"/>
      <c r="J8" s="392">
        <v>1660</v>
      </c>
      <c r="K8" s="708">
        <f>Antecedentes!M28</f>
        <v>1000000</v>
      </c>
      <c r="L8" s="709"/>
      <c r="M8" s="709"/>
      <c r="N8" s="709"/>
      <c r="O8" s="710"/>
      <c r="P8" s="393" t="s">
        <v>97</v>
      </c>
      <c r="Q8" s="161">
        <f t="shared" si="0"/>
        <v>1</v>
      </c>
    </row>
    <row r="9" spans="1:18" s="162" customFormat="1" ht="17.25" customHeight="1" x14ac:dyDescent="0.2">
      <c r="A9" s="83"/>
      <c r="B9" s="394" t="s">
        <v>101</v>
      </c>
      <c r="C9" s="395"/>
      <c r="D9" s="395"/>
      <c r="E9" s="395"/>
      <c r="F9" s="395"/>
      <c r="G9" s="395"/>
      <c r="H9" s="395"/>
      <c r="I9" s="396"/>
      <c r="J9" s="246">
        <v>1661</v>
      </c>
      <c r="K9" s="711"/>
      <c r="L9" s="712"/>
      <c r="M9" s="712"/>
      <c r="N9" s="712"/>
      <c r="O9" s="713"/>
      <c r="P9" s="398" t="s">
        <v>102</v>
      </c>
      <c r="Q9" s="161">
        <f t="shared" si="0"/>
        <v>0</v>
      </c>
    </row>
    <row r="10" spans="1:18" s="162" customFormat="1" ht="17.25" customHeight="1" x14ac:dyDescent="0.2">
      <c r="A10" s="83"/>
      <c r="B10" s="394" t="s">
        <v>103</v>
      </c>
      <c r="C10" s="395"/>
      <c r="D10" s="395"/>
      <c r="E10" s="395"/>
      <c r="F10" s="395"/>
      <c r="G10" s="395"/>
      <c r="H10" s="395"/>
      <c r="I10" s="396"/>
      <c r="J10" s="246">
        <v>1662</v>
      </c>
      <c r="K10" s="711">
        <f>19600500+4011117</f>
        <v>23611617</v>
      </c>
      <c r="L10" s="712"/>
      <c r="M10" s="712"/>
      <c r="N10" s="712"/>
      <c r="O10" s="713"/>
      <c r="P10" s="398" t="s">
        <v>102</v>
      </c>
      <c r="Q10" s="161">
        <f t="shared" si="0"/>
        <v>1</v>
      </c>
    </row>
    <row r="11" spans="1:18" s="162" customFormat="1" ht="17.25" customHeight="1" x14ac:dyDescent="0.2">
      <c r="A11" s="83"/>
      <c r="B11" s="394" t="s">
        <v>104</v>
      </c>
      <c r="C11" s="395"/>
      <c r="D11" s="395"/>
      <c r="E11" s="395"/>
      <c r="F11" s="395"/>
      <c r="G11" s="395"/>
      <c r="H11" s="395"/>
      <c r="I11" s="396"/>
      <c r="J11" s="246">
        <v>1140</v>
      </c>
      <c r="K11" s="711"/>
      <c r="L11" s="712"/>
      <c r="M11" s="712"/>
      <c r="N11" s="712"/>
      <c r="O11" s="713"/>
      <c r="P11" s="398" t="s">
        <v>102</v>
      </c>
      <c r="Q11" s="161">
        <f t="shared" si="0"/>
        <v>0</v>
      </c>
    </row>
    <row r="12" spans="1:18" s="162" customFormat="1" ht="17.25" customHeight="1" x14ac:dyDescent="0.2">
      <c r="A12" s="83"/>
      <c r="B12" s="399" t="s">
        <v>105</v>
      </c>
      <c r="C12" s="83"/>
      <c r="D12" s="83"/>
      <c r="E12" s="83"/>
      <c r="F12" s="83"/>
      <c r="G12" s="83"/>
      <c r="H12" s="83"/>
      <c r="I12" s="348"/>
      <c r="J12" s="244">
        <v>1663</v>
      </c>
      <c r="K12" s="714"/>
      <c r="L12" s="715"/>
      <c r="M12" s="715"/>
      <c r="N12" s="715"/>
      <c r="O12" s="716"/>
      <c r="P12" s="237" t="s">
        <v>102</v>
      </c>
      <c r="Q12" s="161">
        <f t="shared" si="0"/>
        <v>0</v>
      </c>
      <c r="R12" s="163"/>
    </row>
    <row r="13" spans="1:18" s="162" customFormat="1" ht="17.25" customHeight="1" x14ac:dyDescent="0.2">
      <c r="A13" s="83"/>
      <c r="B13" s="383" t="s">
        <v>106</v>
      </c>
      <c r="C13" s="384"/>
      <c r="D13" s="384"/>
      <c r="E13" s="384"/>
      <c r="F13" s="384"/>
      <c r="G13" s="384"/>
      <c r="H13" s="384"/>
      <c r="I13" s="386"/>
      <c r="J13" s="243">
        <v>1664</v>
      </c>
      <c r="K13" s="705"/>
      <c r="L13" s="706"/>
      <c r="M13" s="706"/>
      <c r="N13" s="706"/>
      <c r="O13" s="707"/>
      <c r="P13" s="400" t="s">
        <v>102</v>
      </c>
      <c r="Q13" s="161">
        <f t="shared" si="0"/>
        <v>0</v>
      </c>
      <c r="R13" s="163"/>
    </row>
    <row r="14" spans="1:18" s="162" customFormat="1" ht="17.25" customHeight="1" x14ac:dyDescent="0.2">
      <c r="A14" s="83"/>
      <c r="B14" s="383" t="s">
        <v>107</v>
      </c>
      <c r="C14" s="384"/>
      <c r="D14" s="384"/>
      <c r="E14" s="384"/>
      <c r="F14" s="384"/>
      <c r="G14" s="384"/>
      <c r="H14" s="384"/>
      <c r="I14" s="386"/>
      <c r="J14" s="243">
        <v>1665</v>
      </c>
      <c r="K14" s="705"/>
      <c r="L14" s="706"/>
      <c r="M14" s="706"/>
      <c r="N14" s="706"/>
      <c r="O14" s="707"/>
      <c r="P14" s="400" t="s">
        <v>102</v>
      </c>
      <c r="Q14" s="161">
        <f t="shared" si="0"/>
        <v>0</v>
      </c>
      <c r="R14" s="163"/>
    </row>
    <row r="15" spans="1:18" s="162" customFormat="1" ht="17.25" customHeight="1" x14ac:dyDescent="0.2">
      <c r="A15" s="83"/>
      <c r="B15" s="383" t="s">
        <v>108</v>
      </c>
      <c r="C15" s="384"/>
      <c r="D15" s="384"/>
      <c r="E15" s="384"/>
      <c r="F15" s="384"/>
      <c r="G15" s="384"/>
      <c r="H15" s="384"/>
      <c r="I15" s="386"/>
      <c r="J15" s="243">
        <v>1666</v>
      </c>
      <c r="K15" s="705"/>
      <c r="L15" s="706"/>
      <c r="M15" s="706"/>
      <c r="N15" s="706"/>
      <c r="O15" s="707"/>
      <c r="P15" s="400" t="s">
        <v>102</v>
      </c>
      <c r="Q15" s="161">
        <f t="shared" si="0"/>
        <v>0</v>
      </c>
    </row>
    <row r="16" spans="1:18" s="162" customFormat="1" ht="17.25" customHeight="1" x14ac:dyDescent="0.2">
      <c r="A16" s="83"/>
      <c r="B16" s="401" t="s">
        <v>109</v>
      </c>
      <c r="C16" s="402"/>
      <c r="D16" s="402"/>
      <c r="E16" s="402"/>
      <c r="F16" s="402"/>
      <c r="G16" s="402"/>
      <c r="H16" s="402"/>
      <c r="I16" s="403"/>
      <c r="J16" s="392">
        <v>1667</v>
      </c>
      <c r="K16" s="717"/>
      <c r="L16" s="718"/>
      <c r="M16" s="718"/>
      <c r="N16" s="718"/>
      <c r="O16" s="719"/>
      <c r="P16" s="392" t="s">
        <v>102</v>
      </c>
      <c r="Q16" s="161">
        <f t="shared" si="0"/>
        <v>0</v>
      </c>
    </row>
    <row r="17" spans="1:22" s="162" customFormat="1" ht="17.25" customHeight="1" x14ac:dyDescent="0.2">
      <c r="A17" s="83"/>
      <c r="B17" s="404" t="s">
        <v>110</v>
      </c>
      <c r="C17" s="405"/>
      <c r="D17" s="405"/>
      <c r="E17" s="405"/>
      <c r="F17" s="405"/>
      <c r="G17" s="405"/>
      <c r="H17" s="405"/>
      <c r="I17" s="406"/>
      <c r="J17" s="246">
        <v>1668</v>
      </c>
      <c r="K17" s="711"/>
      <c r="L17" s="712"/>
      <c r="M17" s="712"/>
      <c r="N17" s="712"/>
      <c r="O17" s="713"/>
      <c r="P17" s="398" t="s">
        <v>102</v>
      </c>
      <c r="Q17" s="161">
        <f t="shared" si="0"/>
        <v>0</v>
      </c>
    </row>
    <row r="18" spans="1:22" s="162" customFormat="1" ht="17.25" customHeight="1" x14ac:dyDescent="0.2">
      <c r="A18" s="83"/>
      <c r="B18" s="394" t="s">
        <v>111</v>
      </c>
      <c r="C18" s="395"/>
      <c r="D18" s="395"/>
      <c r="E18" s="395"/>
      <c r="F18" s="395"/>
      <c r="G18" s="395"/>
      <c r="H18" s="395"/>
      <c r="I18" s="396"/>
      <c r="J18" s="246">
        <v>1141</v>
      </c>
      <c r="K18" s="711"/>
      <c r="L18" s="712"/>
      <c r="M18" s="712"/>
      <c r="N18" s="712"/>
      <c r="O18" s="713"/>
      <c r="P18" s="398" t="s">
        <v>102</v>
      </c>
      <c r="Q18" s="161">
        <f t="shared" si="0"/>
        <v>0</v>
      </c>
    </row>
    <row r="19" spans="1:22" s="162" customFormat="1" ht="17.25" customHeight="1" x14ac:dyDescent="0.2">
      <c r="A19" s="83"/>
      <c r="B19" s="394" t="s">
        <v>112</v>
      </c>
      <c r="C19" s="395"/>
      <c r="D19" s="395"/>
      <c r="E19" s="395"/>
      <c r="F19" s="395"/>
      <c r="G19" s="395"/>
      <c r="H19" s="395"/>
      <c r="I19" s="396"/>
      <c r="J19" s="246">
        <v>1142</v>
      </c>
      <c r="K19" s="711"/>
      <c r="L19" s="712"/>
      <c r="M19" s="712"/>
      <c r="N19" s="712"/>
      <c r="O19" s="713"/>
      <c r="P19" s="398" t="s">
        <v>102</v>
      </c>
      <c r="Q19" s="161">
        <f t="shared" si="0"/>
        <v>0</v>
      </c>
    </row>
    <row r="20" spans="1:22" s="162" customFormat="1" ht="17.25" customHeight="1" x14ac:dyDescent="0.2">
      <c r="A20" s="83"/>
      <c r="B20" s="394" t="s">
        <v>113</v>
      </c>
      <c r="C20" s="395"/>
      <c r="D20" s="395"/>
      <c r="E20" s="395"/>
      <c r="F20" s="395"/>
      <c r="G20" s="395"/>
      <c r="H20" s="395"/>
      <c r="I20" s="396"/>
      <c r="J20" s="246">
        <v>1669</v>
      </c>
      <c r="K20" s="711"/>
      <c r="L20" s="712"/>
      <c r="M20" s="712"/>
      <c r="N20" s="712"/>
      <c r="O20" s="713"/>
      <c r="P20" s="398" t="s">
        <v>102</v>
      </c>
      <c r="Q20" s="161">
        <f t="shared" si="0"/>
        <v>0</v>
      </c>
      <c r="T20" s="163"/>
    </row>
    <row r="21" spans="1:22" s="162" customFormat="1" ht="17.25" customHeight="1" x14ac:dyDescent="0.2">
      <c r="A21" s="83"/>
      <c r="B21" s="399" t="s">
        <v>114</v>
      </c>
      <c r="C21" s="83"/>
      <c r="D21" s="83"/>
      <c r="E21" s="83"/>
      <c r="F21" s="83"/>
      <c r="G21" s="83"/>
      <c r="H21" s="83"/>
      <c r="I21" s="348"/>
      <c r="J21" s="244">
        <v>1670</v>
      </c>
      <c r="K21" s="714">
        <v>18144000</v>
      </c>
      <c r="L21" s="715"/>
      <c r="M21" s="715"/>
      <c r="N21" s="715"/>
      <c r="O21" s="716"/>
      <c r="P21" s="237" t="s">
        <v>102</v>
      </c>
      <c r="Q21" s="161">
        <f t="shared" si="0"/>
        <v>1</v>
      </c>
    </row>
    <row r="22" spans="1:22" s="162" customFormat="1" ht="17.25" customHeight="1" x14ac:dyDescent="0.2">
      <c r="A22" s="83"/>
      <c r="B22" s="389" t="s">
        <v>115</v>
      </c>
      <c r="C22" s="390"/>
      <c r="D22" s="390"/>
      <c r="E22" s="390"/>
      <c r="F22" s="390"/>
      <c r="G22" s="390"/>
      <c r="H22" s="390"/>
      <c r="I22" s="391"/>
      <c r="J22" s="392">
        <v>1671</v>
      </c>
      <c r="K22" s="708">
        <f>'Crédito IPE'!J19</f>
        <v>5885224</v>
      </c>
      <c r="L22" s="709"/>
      <c r="M22" s="709"/>
      <c r="N22" s="709"/>
      <c r="O22" s="710"/>
      <c r="P22" s="407" t="s">
        <v>102</v>
      </c>
      <c r="Q22" s="161">
        <f t="shared" si="0"/>
        <v>1</v>
      </c>
      <c r="V22" s="164"/>
    </row>
    <row r="23" spans="1:22" s="162" customFormat="1" ht="17.25" customHeight="1" x14ac:dyDescent="0.25">
      <c r="A23" s="83"/>
      <c r="B23" s="394" t="s">
        <v>116</v>
      </c>
      <c r="C23" s="395"/>
      <c r="D23" s="395"/>
      <c r="E23" s="395"/>
      <c r="F23" s="395"/>
      <c r="G23" s="395"/>
      <c r="H23" s="395"/>
      <c r="I23" s="396"/>
      <c r="J23" s="246">
        <v>1672</v>
      </c>
      <c r="K23" s="720">
        <f>+SUM(K5:O8)-SUM(K9:O22)</f>
        <v>83400500</v>
      </c>
      <c r="L23" s="721"/>
      <c r="M23" s="721"/>
      <c r="N23" s="721"/>
      <c r="O23" s="722"/>
      <c r="P23" s="398" t="s">
        <v>64</v>
      </c>
      <c r="Q23" s="161">
        <f t="shared" si="0"/>
        <v>1</v>
      </c>
    </row>
    <row r="24" spans="1:22" s="162" customFormat="1" ht="18.75" customHeight="1" x14ac:dyDescent="0.25">
      <c r="A24" s="83"/>
      <c r="B24" s="692" t="s">
        <v>117</v>
      </c>
      <c r="C24" s="693"/>
      <c r="D24" s="693"/>
      <c r="E24" s="693"/>
      <c r="F24" s="693"/>
      <c r="G24" s="693"/>
      <c r="H24" s="693"/>
      <c r="I24" s="693"/>
      <c r="J24" s="693"/>
      <c r="K24" s="693"/>
      <c r="L24" s="693"/>
      <c r="M24" s="693"/>
      <c r="N24" s="693"/>
      <c r="O24" s="693"/>
      <c r="P24" s="694"/>
      <c r="Q24" s="161"/>
    </row>
    <row r="25" spans="1:22" s="162" customFormat="1" ht="17.25" customHeight="1" x14ac:dyDescent="0.2">
      <c r="A25" s="83"/>
      <c r="B25" s="389" t="s">
        <v>118</v>
      </c>
      <c r="C25" s="390"/>
      <c r="D25" s="390"/>
      <c r="E25" s="390"/>
      <c r="F25" s="390"/>
      <c r="G25" s="390"/>
      <c r="H25" s="390"/>
      <c r="I25" s="391"/>
      <c r="J25" s="392">
        <v>1673</v>
      </c>
      <c r="K25" s="717">
        <f ca="1">-SUMIF(RLI!$C$4:$L$25,'R12'!J25,RLI!$L$4:$L$25)</f>
        <v>3932218</v>
      </c>
      <c r="L25" s="718"/>
      <c r="M25" s="718"/>
      <c r="N25" s="718"/>
      <c r="O25" s="719"/>
      <c r="P25" s="243" t="s">
        <v>102</v>
      </c>
      <c r="Q25" s="161">
        <f t="shared" ca="1" si="0"/>
        <v>1</v>
      </c>
      <c r="U25" s="163"/>
    </row>
    <row r="26" spans="1:22" s="162" customFormat="1" ht="17.25" customHeight="1" x14ac:dyDescent="0.2">
      <c r="A26" s="83"/>
      <c r="B26" s="383" t="s">
        <v>119</v>
      </c>
      <c r="C26" s="384"/>
      <c r="D26" s="384"/>
      <c r="E26" s="384"/>
      <c r="F26" s="384"/>
      <c r="G26" s="384"/>
      <c r="H26" s="384"/>
      <c r="I26" s="386"/>
      <c r="J26" s="243">
        <v>1674</v>
      </c>
      <c r="K26" s="706">
        <f ca="1">SUMIF(RLI!$C$4:$L$25,'R12'!J26,RLI!$L$4:$L$25)</f>
        <v>1284000</v>
      </c>
      <c r="L26" s="706"/>
      <c r="M26" s="706"/>
      <c r="N26" s="706"/>
      <c r="O26" s="706"/>
      <c r="P26" s="243" t="s">
        <v>97</v>
      </c>
      <c r="Q26" s="161">
        <f t="shared" ca="1" si="0"/>
        <v>1</v>
      </c>
      <c r="S26" s="163"/>
      <c r="U26" s="165"/>
    </row>
    <row r="27" spans="1:22" s="162" customFormat="1" ht="17.25" customHeight="1" x14ac:dyDescent="0.2">
      <c r="A27" s="83"/>
      <c r="B27" s="723" t="s">
        <v>120</v>
      </c>
      <c r="C27" s="724"/>
      <c r="D27" s="724"/>
      <c r="E27" s="724"/>
      <c r="F27" s="724"/>
      <c r="G27" s="724"/>
      <c r="H27" s="724"/>
      <c r="I27" s="725"/>
      <c r="J27" s="243">
        <v>1144</v>
      </c>
      <c r="K27" s="706">
        <f ca="1">SUMIF(RLI!$C$4:$L$25,'R12'!J27,RLI!$L$4:$L$25)</f>
        <v>17606776</v>
      </c>
      <c r="L27" s="706"/>
      <c r="M27" s="706"/>
      <c r="N27" s="706"/>
      <c r="O27" s="706"/>
      <c r="P27" s="243" t="s">
        <v>97</v>
      </c>
      <c r="Q27" s="161">
        <f ca="1">+IF(K27&gt;0,1,0)</f>
        <v>1</v>
      </c>
    </row>
    <row r="28" spans="1:22" s="162" customFormat="1" ht="17.25" customHeight="1" x14ac:dyDescent="0.2">
      <c r="A28" s="83"/>
      <c r="B28" s="383" t="s">
        <v>105</v>
      </c>
      <c r="C28" s="384"/>
      <c r="D28" s="384"/>
      <c r="E28" s="384"/>
      <c r="F28" s="384"/>
      <c r="G28" s="384"/>
      <c r="H28" s="384"/>
      <c r="I28" s="386"/>
      <c r="J28" s="243">
        <v>1675</v>
      </c>
      <c r="K28" s="706"/>
      <c r="L28" s="706"/>
      <c r="M28" s="706"/>
      <c r="N28" s="706"/>
      <c r="O28" s="706"/>
      <c r="P28" s="243" t="s">
        <v>97</v>
      </c>
      <c r="Q28" s="161">
        <f t="shared" si="0"/>
        <v>0</v>
      </c>
    </row>
    <row r="29" spans="1:22" s="162" customFormat="1" ht="17.25" customHeight="1" x14ac:dyDescent="0.2">
      <c r="A29" s="83"/>
      <c r="B29" s="389" t="s">
        <v>121</v>
      </c>
      <c r="C29" s="390"/>
      <c r="D29" s="390"/>
      <c r="E29" s="390"/>
      <c r="F29" s="390"/>
      <c r="G29" s="390"/>
      <c r="H29" s="390"/>
      <c r="I29" s="391"/>
      <c r="J29" s="392">
        <v>1175</v>
      </c>
      <c r="K29" s="718"/>
      <c r="L29" s="718"/>
      <c r="M29" s="718"/>
      <c r="N29" s="718"/>
      <c r="O29" s="718"/>
      <c r="P29" s="392" t="s">
        <v>97</v>
      </c>
      <c r="Q29" s="161">
        <f t="shared" si="0"/>
        <v>0</v>
      </c>
    </row>
    <row r="30" spans="1:22" s="162" customFormat="1" ht="17.25" customHeight="1" x14ac:dyDescent="0.2">
      <c r="A30" s="83"/>
      <c r="B30" s="394" t="s">
        <v>122</v>
      </c>
      <c r="C30" s="395"/>
      <c r="D30" s="395"/>
      <c r="E30" s="395"/>
      <c r="F30" s="395"/>
      <c r="G30" s="395"/>
      <c r="H30" s="395"/>
      <c r="I30" s="396"/>
      <c r="J30" s="246">
        <v>1676</v>
      </c>
      <c r="K30" s="726">
        <f ca="1">SUMIF(RLI!$C$4:$L$25,'R12'!J30,RLI!$L$4:$L$25)</f>
        <v>4529670</v>
      </c>
      <c r="L30" s="726"/>
      <c r="M30" s="726"/>
      <c r="N30" s="726"/>
      <c r="O30" s="726"/>
      <c r="P30" s="246" t="s">
        <v>97</v>
      </c>
      <c r="Q30" s="161">
        <f ca="1">+IF(K30&gt;0,1,0)</f>
        <v>1</v>
      </c>
    </row>
    <row r="31" spans="1:22" s="162" customFormat="1" ht="17.25" customHeight="1" x14ac:dyDescent="0.2">
      <c r="A31" s="83"/>
      <c r="B31" s="394" t="s">
        <v>123</v>
      </c>
      <c r="C31" s="395"/>
      <c r="D31" s="395"/>
      <c r="E31" s="395"/>
      <c r="F31" s="395"/>
      <c r="G31" s="395"/>
      <c r="H31" s="395"/>
      <c r="I31" s="396"/>
      <c r="J31" s="246">
        <v>1677</v>
      </c>
      <c r="K31" s="712">
        <f ca="1">SUMIF(RLI!$C$4:$L$25,'R12'!J31,RLI!$L$4:$L$25)</f>
        <v>201181</v>
      </c>
      <c r="L31" s="712"/>
      <c r="M31" s="712"/>
      <c r="N31" s="712"/>
      <c r="O31" s="712"/>
      <c r="P31" s="246" t="s">
        <v>97</v>
      </c>
      <c r="Q31" s="161">
        <f t="shared" ca="1" si="0"/>
        <v>1</v>
      </c>
    </row>
    <row r="32" spans="1:22" s="162" customFormat="1" ht="17.25" customHeight="1" x14ac:dyDescent="0.2">
      <c r="A32" s="83"/>
      <c r="B32" s="394" t="s">
        <v>124</v>
      </c>
      <c r="C32" s="395"/>
      <c r="D32" s="395"/>
      <c r="E32" s="395"/>
      <c r="F32" s="395"/>
      <c r="G32" s="395"/>
      <c r="H32" s="395"/>
      <c r="I32" s="396"/>
      <c r="J32" s="246">
        <v>1678</v>
      </c>
      <c r="K32" s="712">
        <f ca="1">SUMIF(RLI!$C$4:$L$25,'R12'!J32,RLI!$L$4:$L$25)</f>
        <v>3777295</v>
      </c>
      <c r="L32" s="712"/>
      <c r="M32" s="712"/>
      <c r="N32" s="712"/>
      <c r="O32" s="712"/>
      <c r="P32" s="246" t="s">
        <v>97</v>
      </c>
      <c r="Q32" s="161">
        <f t="shared" ca="1" si="0"/>
        <v>1</v>
      </c>
    </row>
    <row r="33" spans="1:17" s="162" customFormat="1" ht="17.25" customHeight="1" x14ac:dyDescent="0.2">
      <c r="A33" s="83"/>
      <c r="B33" s="399" t="s">
        <v>125</v>
      </c>
      <c r="C33" s="83"/>
      <c r="D33" s="83"/>
      <c r="E33" s="83"/>
      <c r="F33" s="83"/>
      <c r="G33" s="83"/>
      <c r="H33" s="83"/>
      <c r="I33" s="348"/>
      <c r="J33" s="244">
        <v>1150</v>
      </c>
      <c r="K33" s="715"/>
      <c r="L33" s="715"/>
      <c r="M33" s="715"/>
      <c r="N33" s="715"/>
      <c r="O33" s="715"/>
      <c r="P33" s="244" t="s">
        <v>97</v>
      </c>
      <c r="Q33" s="161">
        <f t="shared" si="0"/>
        <v>0</v>
      </c>
    </row>
    <row r="34" spans="1:17" s="162" customFormat="1" ht="17.25" customHeight="1" x14ac:dyDescent="0.2">
      <c r="A34" s="83"/>
      <c r="B34" s="383" t="s">
        <v>126</v>
      </c>
      <c r="C34" s="384"/>
      <c r="D34" s="384"/>
      <c r="E34" s="384"/>
      <c r="F34" s="384"/>
      <c r="G34" s="384"/>
      <c r="H34" s="384"/>
      <c r="I34" s="386"/>
      <c r="J34" s="243">
        <v>1147</v>
      </c>
      <c r="K34" s="706"/>
      <c r="L34" s="706"/>
      <c r="M34" s="706"/>
      <c r="N34" s="706"/>
      <c r="O34" s="706"/>
      <c r="P34" s="243" t="s">
        <v>97</v>
      </c>
      <c r="Q34" s="161">
        <f t="shared" si="0"/>
        <v>0</v>
      </c>
    </row>
    <row r="35" spans="1:17" s="162" customFormat="1" ht="17.25" customHeight="1" x14ac:dyDescent="0.2">
      <c r="A35" s="83"/>
      <c r="B35" s="383" t="s">
        <v>127</v>
      </c>
      <c r="C35" s="384"/>
      <c r="D35" s="384"/>
      <c r="E35" s="384"/>
      <c r="F35" s="384"/>
      <c r="G35" s="384"/>
      <c r="H35" s="384"/>
      <c r="I35" s="386"/>
      <c r="J35" s="243">
        <v>1148</v>
      </c>
      <c r="K35" s="706"/>
      <c r="L35" s="706"/>
      <c r="M35" s="706"/>
      <c r="N35" s="706"/>
      <c r="O35" s="706"/>
      <c r="P35" s="243" t="s">
        <v>97</v>
      </c>
      <c r="Q35" s="161">
        <f t="shared" si="0"/>
        <v>0</v>
      </c>
    </row>
    <row r="36" spans="1:17" s="162" customFormat="1" ht="17.25" customHeight="1" x14ac:dyDescent="0.2">
      <c r="A36" s="83"/>
      <c r="B36" s="383" t="s">
        <v>128</v>
      </c>
      <c r="C36" s="384"/>
      <c r="D36" s="384"/>
      <c r="E36" s="384"/>
      <c r="F36" s="384"/>
      <c r="G36" s="384"/>
      <c r="H36" s="384"/>
      <c r="I36" s="386"/>
      <c r="J36" s="243">
        <v>1149</v>
      </c>
      <c r="K36" s="706"/>
      <c r="L36" s="706"/>
      <c r="M36" s="706"/>
      <c r="N36" s="706"/>
      <c r="O36" s="706"/>
      <c r="P36" s="243" t="s">
        <v>97</v>
      </c>
      <c r="Q36" s="161">
        <f t="shared" si="0"/>
        <v>0</v>
      </c>
    </row>
    <row r="37" spans="1:17" s="162" customFormat="1" ht="17.25" customHeight="1" x14ac:dyDescent="0.2">
      <c r="A37" s="83"/>
      <c r="B37" s="389" t="s">
        <v>129</v>
      </c>
      <c r="C37" s="390"/>
      <c r="D37" s="390"/>
      <c r="E37" s="390"/>
      <c r="F37" s="390"/>
      <c r="G37" s="390"/>
      <c r="H37" s="390"/>
      <c r="I37" s="391"/>
      <c r="J37" s="392">
        <v>1151</v>
      </c>
      <c r="K37" s="718"/>
      <c r="L37" s="718"/>
      <c r="M37" s="718"/>
      <c r="N37" s="718"/>
      <c r="O37" s="718"/>
      <c r="P37" s="392" t="s">
        <v>97</v>
      </c>
      <c r="Q37" s="161">
        <f t="shared" si="0"/>
        <v>0</v>
      </c>
    </row>
    <row r="38" spans="1:17" s="162" customFormat="1" ht="17.25" customHeight="1" x14ac:dyDescent="0.2">
      <c r="A38" s="83"/>
      <c r="B38" s="394" t="s">
        <v>130</v>
      </c>
      <c r="C38" s="395"/>
      <c r="D38" s="395"/>
      <c r="E38" s="395"/>
      <c r="F38" s="395"/>
      <c r="G38" s="395"/>
      <c r="H38" s="395"/>
      <c r="I38" s="396"/>
      <c r="J38" s="246">
        <v>1991</v>
      </c>
      <c r="K38" s="397"/>
      <c r="L38" s="397"/>
      <c r="M38" s="397"/>
      <c r="N38" s="397"/>
      <c r="O38" s="397"/>
      <c r="P38" s="408" t="s">
        <v>97</v>
      </c>
      <c r="Q38" s="161"/>
    </row>
    <row r="39" spans="1:17" s="162" customFormat="1" ht="17.25" customHeight="1" x14ac:dyDescent="0.2">
      <c r="A39" s="83"/>
      <c r="B39" s="394" t="s">
        <v>131</v>
      </c>
      <c r="C39" s="395"/>
      <c r="D39" s="395"/>
      <c r="E39" s="395"/>
      <c r="F39" s="395"/>
      <c r="G39" s="395"/>
      <c r="H39" s="395"/>
      <c r="I39" s="396"/>
      <c r="J39" s="246">
        <v>1152</v>
      </c>
      <c r="K39" s="712"/>
      <c r="L39" s="712"/>
      <c r="M39" s="712"/>
      <c r="N39" s="712"/>
      <c r="O39" s="712"/>
      <c r="P39" s="246" t="s">
        <v>102</v>
      </c>
      <c r="Q39" s="161">
        <f t="shared" si="0"/>
        <v>0</v>
      </c>
    </row>
    <row r="40" spans="1:17" s="162" customFormat="1" ht="17.25" customHeight="1" x14ac:dyDescent="0.2">
      <c r="A40" s="83"/>
      <c r="B40" s="394" t="s">
        <v>132</v>
      </c>
      <c r="C40" s="395"/>
      <c r="D40" s="395"/>
      <c r="E40" s="395"/>
      <c r="F40" s="395"/>
      <c r="G40" s="395"/>
      <c r="H40" s="395"/>
      <c r="I40" s="396"/>
      <c r="J40" s="246">
        <v>1176</v>
      </c>
      <c r="K40" s="712">
        <f ca="1">-SUMIF(RLI!$C$4:$L$25,'R12'!J40,RLI!$L$4:$L$25)</f>
        <v>2800000</v>
      </c>
      <c r="L40" s="712"/>
      <c r="M40" s="712"/>
      <c r="N40" s="712"/>
      <c r="O40" s="712"/>
      <c r="P40" s="246" t="s">
        <v>102</v>
      </c>
      <c r="Q40" s="161">
        <f t="shared" ca="1" si="0"/>
        <v>1</v>
      </c>
    </row>
    <row r="41" spans="1:17" s="162" customFormat="1" ht="17.25" customHeight="1" x14ac:dyDescent="0.2">
      <c r="A41" s="83"/>
      <c r="B41" s="394" t="s">
        <v>133</v>
      </c>
      <c r="C41" s="395"/>
      <c r="D41" s="395"/>
      <c r="E41" s="395"/>
      <c r="F41" s="395"/>
      <c r="G41" s="395"/>
      <c r="H41" s="395"/>
      <c r="I41" s="396"/>
      <c r="J41" s="246">
        <v>1679</v>
      </c>
      <c r="K41" s="712"/>
      <c r="L41" s="712"/>
      <c r="M41" s="712"/>
      <c r="N41" s="712"/>
      <c r="O41" s="712"/>
      <c r="P41" s="246" t="s">
        <v>102</v>
      </c>
      <c r="Q41" s="161">
        <f t="shared" si="0"/>
        <v>0</v>
      </c>
    </row>
    <row r="42" spans="1:17" s="162" customFormat="1" ht="17.25" customHeight="1" x14ac:dyDescent="0.2">
      <c r="A42" s="83"/>
      <c r="B42" s="399" t="s">
        <v>134</v>
      </c>
      <c r="C42" s="83"/>
      <c r="D42" s="83"/>
      <c r="E42" s="83"/>
      <c r="F42" s="83"/>
      <c r="G42" s="83"/>
      <c r="H42" s="83"/>
      <c r="I42" s="348"/>
      <c r="J42" s="244">
        <v>1680</v>
      </c>
      <c r="K42" s="715"/>
      <c r="L42" s="715"/>
      <c r="M42" s="715"/>
      <c r="N42" s="715"/>
      <c r="O42" s="715"/>
      <c r="P42" s="244" t="s">
        <v>102</v>
      </c>
      <c r="Q42" s="161">
        <f t="shared" si="0"/>
        <v>0</v>
      </c>
    </row>
    <row r="43" spans="1:17" s="162" customFormat="1" ht="17.25" customHeight="1" x14ac:dyDescent="0.2">
      <c r="A43" s="83"/>
      <c r="B43" s="383" t="s">
        <v>135</v>
      </c>
      <c r="C43" s="384"/>
      <c r="D43" s="384"/>
      <c r="E43" s="384"/>
      <c r="F43" s="384"/>
      <c r="G43" s="384"/>
      <c r="H43" s="384"/>
      <c r="I43" s="386"/>
      <c r="J43" s="243">
        <v>1681</v>
      </c>
      <c r="K43" s="706"/>
      <c r="L43" s="706"/>
      <c r="M43" s="706"/>
      <c r="N43" s="706"/>
      <c r="O43" s="706"/>
      <c r="P43" s="392" t="s">
        <v>102</v>
      </c>
      <c r="Q43" s="161">
        <f t="shared" si="0"/>
        <v>0</v>
      </c>
    </row>
    <row r="44" spans="1:17" s="162" customFormat="1" ht="17.25" customHeight="1" x14ac:dyDescent="0.2">
      <c r="A44" s="83"/>
      <c r="B44" s="383" t="s">
        <v>136</v>
      </c>
      <c r="C44" s="384"/>
      <c r="D44" s="384"/>
      <c r="E44" s="384"/>
      <c r="F44" s="384"/>
      <c r="G44" s="384"/>
      <c r="H44" s="384"/>
      <c r="I44" s="386"/>
      <c r="J44" s="243">
        <v>1974</v>
      </c>
      <c r="K44" s="388"/>
      <c r="L44" s="388"/>
      <c r="M44" s="388"/>
      <c r="N44" s="388"/>
      <c r="O44" s="207"/>
      <c r="P44" s="244" t="s">
        <v>102</v>
      </c>
      <c r="Q44" s="161"/>
    </row>
    <row r="45" spans="1:17" s="162" customFormat="1" ht="17.25" customHeight="1" x14ac:dyDescent="0.2">
      <c r="A45" s="83"/>
      <c r="B45" s="723" t="s">
        <v>137</v>
      </c>
      <c r="C45" s="724"/>
      <c r="D45" s="724"/>
      <c r="E45" s="724"/>
      <c r="F45" s="724"/>
      <c r="G45" s="724"/>
      <c r="H45" s="724"/>
      <c r="I45" s="725"/>
      <c r="J45" s="243">
        <v>1975</v>
      </c>
      <c r="K45" s="388"/>
      <c r="L45" s="388"/>
      <c r="M45" s="388"/>
      <c r="N45" s="388"/>
      <c r="O45" s="207"/>
      <c r="P45" s="243" t="s">
        <v>102</v>
      </c>
      <c r="Q45" s="161"/>
    </row>
    <row r="46" spans="1:17" s="162" customFormat="1" ht="17.25" customHeight="1" x14ac:dyDescent="0.2">
      <c r="A46" s="83"/>
      <c r="B46" s="383" t="s">
        <v>138</v>
      </c>
      <c r="C46" s="409"/>
      <c r="D46" s="409"/>
      <c r="E46" s="384"/>
      <c r="F46" s="384"/>
      <c r="G46" s="384"/>
      <c r="H46" s="384"/>
      <c r="I46" s="386"/>
      <c r="J46" s="243">
        <v>1682</v>
      </c>
      <c r="K46" s="706">
        <f ca="1">-SUMIF(RLI!$C$4:$L$25,'R12'!J46,RLI!$L$4:$L$25)</f>
        <v>777295</v>
      </c>
      <c r="L46" s="706"/>
      <c r="M46" s="706"/>
      <c r="N46" s="706"/>
      <c r="O46" s="707"/>
      <c r="P46" s="243" t="s">
        <v>102</v>
      </c>
      <c r="Q46" s="161">
        <f t="shared" ca="1" si="0"/>
        <v>1</v>
      </c>
    </row>
    <row r="47" spans="1:17" s="162" customFormat="1" ht="17.25" customHeight="1" x14ac:dyDescent="0.2">
      <c r="A47" s="83"/>
      <c r="B47" s="389" t="s">
        <v>139</v>
      </c>
      <c r="C47" s="410"/>
      <c r="D47" s="410"/>
      <c r="E47" s="390"/>
      <c r="F47" s="390"/>
      <c r="G47" s="390"/>
      <c r="H47" s="390"/>
      <c r="I47" s="391"/>
      <c r="J47" s="392">
        <v>1683</v>
      </c>
      <c r="K47" s="717">
        <f ca="1">-SUMIF(RLI!$C$4:$L$25,'R12'!J47,RLI!$L$4:$L$25)</f>
        <v>3000000</v>
      </c>
      <c r="L47" s="718"/>
      <c r="M47" s="718"/>
      <c r="N47" s="718"/>
      <c r="O47" s="719"/>
      <c r="P47" s="392" t="s">
        <v>102</v>
      </c>
      <c r="Q47" s="161">
        <f t="shared" ca="1" si="0"/>
        <v>1</v>
      </c>
    </row>
    <row r="48" spans="1:17" s="162" customFormat="1" ht="17.25" customHeight="1" x14ac:dyDescent="0.2">
      <c r="A48" s="83"/>
      <c r="B48" s="394" t="s">
        <v>140</v>
      </c>
      <c r="C48" s="395"/>
      <c r="D48" s="395"/>
      <c r="E48" s="395"/>
      <c r="F48" s="395"/>
      <c r="G48" s="395"/>
      <c r="H48" s="395"/>
      <c r="I48" s="396"/>
      <c r="J48" s="246">
        <v>1684</v>
      </c>
      <c r="K48" s="712"/>
      <c r="L48" s="712"/>
      <c r="M48" s="712"/>
      <c r="N48" s="712"/>
      <c r="O48" s="713"/>
      <c r="P48" s="246" t="s">
        <v>102</v>
      </c>
      <c r="Q48" s="161">
        <f t="shared" si="0"/>
        <v>0</v>
      </c>
    </row>
    <row r="49" spans="1:23" s="162" customFormat="1" ht="17.25" customHeight="1" x14ac:dyDescent="0.2">
      <c r="A49" s="83"/>
      <c r="B49" s="394" t="s">
        <v>141</v>
      </c>
      <c r="C49" s="395"/>
      <c r="D49" s="395"/>
      <c r="E49" s="395"/>
      <c r="F49" s="395"/>
      <c r="G49" s="395"/>
      <c r="H49" s="395"/>
      <c r="I49" s="396"/>
      <c r="J49" s="246">
        <v>1685</v>
      </c>
      <c r="K49" s="712"/>
      <c r="L49" s="712"/>
      <c r="M49" s="712"/>
      <c r="N49" s="712"/>
      <c r="O49" s="713"/>
      <c r="P49" s="246" t="s">
        <v>102</v>
      </c>
      <c r="Q49" s="161">
        <f t="shared" si="0"/>
        <v>0</v>
      </c>
    </row>
    <row r="50" spans="1:23" s="162" customFormat="1" ht="17.25" customHeight="1" x14ac:dyDescent="0.2">
      <c r="A50" s="83"/>
      <c r="B50" s="394" t="s">
        <v>142</v>
      </c>
      <c r="C50" s="411"/>
      <c r="D50" s="411"/>
      <c r="E50" s="411"/>
      <c r="F50" s="411"/>
      <c r="G50" s="411"/>
      <c r="H50" s="411"/>
      <c r="I50" s="412"/>
      <c r="J50" s="246">
        <v>1686</v>
      </c>
      <c r="K50" s="712">
        <f ca="1">-SUMIF(RLI!$C$4:$L$25,'R12'!J50,RLI!$L$4:$L$25)</f>
        <v>1000000</v>
      </c>
      <c r="L50" s="712"/>
      <c r="M50" s="712"/>
      <c r="N50" s="712"/>
      <c r="O50" s="713"/>
      <c r="P50" s="392" t="s">
        <v>102</v>
      </c>
      <c r="Q50" s="161">
        <f t="shared" ca="1" si="0"/>
        <v>1</v>
      </c>
      <c r="S50" s="163"/>
    </row>
    <row r="51" spans="1:23" s="162" customFormat="1" ht="17.25" customHeight="1" x14ac:dyDescent="0.2">
      <c r="A51" s="83"/>
      <c r="B51" s="735" t="s">
        <v>143</v>
      </c>
      <c r="C51" s="736"/>
      <c r="D51" s="736"/>
      <c r="E51" s="736"/>
      <c r="F51" s="736"/>
      <c r="G51" s="736"/>
      <c r="H51" s="736"/>
      <c r="I51" s="737"/>
      <c r="J51" s="246">
        <v>1183</v>
      </c>
      <c r="K51" s="712"/>
      <c r="L51" s="712"/>
      <c r="M51" s="712"/>
      <c r="N51" s="712"/>
      <c r="O51" s="712"/>
      <c r="P51" s="246" t="s">
        <v>102</v>
      </c>
      <c r="Q51" s="161">
        <f t="shared" si="0"/>
        <v>0</v>
      </c>
    </row>
    <row r="52" spans="1:23" s="162" customFormat="1" ht="17.25" customHeight="1" x14ac:dyDescent="0.2">
      <c r="A52" s="83"/>
      <c r="B52" s="399" t="s">
        <v>144</v>
      </c>
      <c r="C52" s="83"/>
      <c r="D52" s="83"/>
      <c r="E52" s="83"/>
      <c r="F52" s="83"/>
      <c r="G52" s="83"/>
      <c r="H52" s="83"/>
      <c r="I52" s="348"/>
      <c r="J52" s="244">
        <v>1687</v>
      </c>
      <c r="K52" s="715"/>
      <c r="L52" s="715"/>
      <c r="M52" s="715"/>
      <c r="N52" s="715"/>
      <c r="O52" s="715"/>
      <c r="P52" s="244" t="s">
        <v>102</v>
      </c>
      <c r="Q52" s="161">
        <f t="shared" si="0"/>
        <v>0</v>
      </c>
    </row>
    <row r="53" spans="1:23" s="162" customFormat="1" ht="17.25" customHeight="1" x14ac:dyDescent="0.2">
      <c r="A53" s="83"/>
      <c r="B53" s="389" t="s">
        <v>145</v>
      </c>
      <c r="C53" s="390"/>
      <c r="D53" s="390"/>
      <c r="E53" s="390"/>
      <c r="F53" s="390"/>
      <c r="G53" s="390"/>
      <c r="H53" s="390"/>
      <c r="I53" s="391"/>
      <c r="J53" s="392">
        <v>1688</v>
      </c>
      <c r="K53" s="717"/>
      <c r="L53" s="718"/>
      <c r="M53" s="718"/>
      <c r="N53" s="718"/>
      <c r="O53" s="719"/>
      <c r="P53" s="392" t="s">
        <v>102</v>
      </c>
      <c r="Q53" s="161">
        <f t="shared" si="0"/>
        <v>0</v>
      </c>
    </row>
    <row r="54" spans="1:23" s="162" customFormat="1" ht="17.25" customHeight="1" x14ac:dyDescent="0.2">
      <c r="A54" s="83"/>
      <c r="B54" s="389" t="s">
        <v>146</v>
      </c>
      <c r="C54" s="390"/>
      <c r="D54" s="390"/>
      <c r="E54" s="390"/>
      <c r="F54" s="390"/>
      <c r="G54" s="390"/>
      <c r="H54" s="390"/>
      <c r="I54" s="391"/>
      <c r="J54" s="392">
        <v>1689</v>
      </c>
      <c r="K54" s="717"/>
      <c r="L54" s="718"/>
      <c r="M54" s="718"/>
      <c r="N54" s="718"/>
      <c r="O54" s="719"/>
      <c r="P54" s="392" t="s">
        <v>102</v>
      </c>
      <c r="Q54" s="161">
        <f t="shared" si="0"/>
        <v>0</v>
      </c>
    </row>
    <row r="55" spans="1:23" s="162" customFormat="1" ht="37.5" customHeight="1" x14ac:dyDescent="0.25">
      <c r="A55" s="83"/>
      <c r="B55" s="727" t="s">
        <v>147</v>
      </c>
      <c r="C55" s="728"/>
      <c r="D55" s="728"/>
      <c r="E55" s="728"/>
      <c r="F55" s="728"/>
      <c r="G55" s="728"/>
      <c r="H55" s="728"/>
      <c r="I55" s="729"/>
      <c r="J55" s="246">
        <v>1728</v>
      </c>
      <c r="K55" s="730">
        <f ca="1">SUM(K23,K26:O38)-SUM(K25,K39:O54)</f>
        <v>99289909</v>
      </c>
      <c r="L55" s="731"/>
      <c r="M55" s="731"/>
      <c r="N55" s="731"/>
      <c r="O55" s="732"/>
      <c r="P55" s="246" t="s">
        <v>64</v>
      </c>
      <c r="Q55" s="166"/>
    </row>
    <row r="56" spans="1:23" s="162" customFormat="1" ht="19.5" customHeight="1" x14ac:dyDescent="0.2">
      <c r="A56" s="83"/>
      <c r="B56" s="389" t="s">
        <v>148</v>
      </c>
      <c r="C56" s="390"/>
      <c r="D56" s="390"/>
      <c r="E56" s="390"/>
      <c r="F56" s="390"/>
      <c r="G56" s="390"/>
      <c r="H56" s="390"/>
      <c r="I56" s="391"/>
      <c r="J56" s="244">
        <v>1154</v>
      </c>
      <c r="K56" s="715">
        <f ca="1">-SUMIF(RLI!$C$4:$L$25,'R12'!J56,RLI!$L$4:$L$25)</f>
        <v>10098976</v>
      </c>
      <c r="L56" s="715"/>
      <c r="M56" s="715"/>
      <c r="N56" s="715"/>
      <c r="O56" s="715"/>
      <c r="P56" s="244" t="s">
        <v>102</v>
      </c>
      <c r="Q56" s="161">
        <f ca="1">+IF(K56&gt;0,1,0)</f>
        <v>1</v>
      </c>
    </row>
    <row r="57" spans="1:23" s="162" customFormat="1" ht="17.25" customHeight="1" x14ac:dyDescent="0.2">
      <c r="A57" s="83"/>
      <c r="B57" s="735" t="s">
        <v>149</v>
      </c>
      <c r="C57" s="736"/>
      <c r="D57" s="736"/>
      <c r="E57" s="736"/>
      <c r="F57" s="736"/>
      <c r="G57" s="736"/>
      <c r="H57" s="736"/>
      <c r="I57" s="737"/>
      <c r="J57" s="392">
        <v>1157</v>
      </c>
      <c r="K57" s="717"/>
      <c r="L57" s="718"/>
      <c r="M57" s="718"/>
      <c r="N57" s="718"/>
      <c r="O57" s="719"/>
      <c r="P57" s="392" t="s">
        <v>102</v>
      </c>
      <c r="Q57" s="161">
        <f>+IF(K57&gt;0,1,0)</f>
        <v>0</v>
      </c>
    </row>
    <row r="58" spans="1:23" s="162" customFormat="1" ht="21" customHeight="1" x14ac:dyDescent="0.25">
      <c r="A58" s="83"/>
      <c r="B58" s="413" t="s">
        <v>150</v>
      </c>
      <c r="C58" s="395"/>
      <c r="D58" s="395"/>
      <c r="E58" s="395"/>
      <c r="F58" s="395"/>
      <c r="G58" s="395"/>
      <c r="H58" s="395"/>
      <c r="I58" s="396"/>
      <c r="J58" s="246">
        <v>1690</v>
      </c>
      <c r="K58" s="731">
        <f ca="1">+K55-K56-K57</f>
        <v>89190933</v>
      </c>
      <c r="L58" s="733"/>
      <c r="M58" s="733"/>
      <c r="N58" s="733"/>
      <c r="O58" s="734"/>
      <c r="P58" s="246" t="s">
        <v>64</v>
      </c>
      <c r="Q58" s="161">
        <v>1</v>
      </c>
    </row>
    <row r="59" spans="1:23" x14ac:dyDescent="0.2">
      <c r="A59" s="52"/>
      <c r="B59" s="52"/>
      <c r="C59" s="52"/>
      <c r="D59" s="52"/>
      <c r="E59" s="52"/>
      <c r="F59" s="52"/>
      <c r="G59" s="52"/>
      <c r="H59" s="52"/>
      <c r="I59" s="52"/>
      <c r="J59" s="52"/>
      <c r="K59" s="52"/>
      <c r="L59" s="52"/>
      <c r="M59" s="52"/>
      <c r="N59" s="52"/>
      <c r="O59" s="52"/>
      <c r="P59" s="52"/>
      <c r="Q59" s="160"/>
      <c r="W59" s="162"/>
    </row>
    <row r="60" spans="1:23" x14ac:dyDescent="0.2">
      <c r="A60" s="52"/>
      <c r="B60" s="52"/>
      <c r="C60" s="82"/>
      <c r="D60" s="52"/>
      <c r="E60" s="52"/>
      <c r="F60" s="52"/>
      <c r="G60" s="52"/>
      <c r="H60" s="52"/>
      <c r="I60" s="52"/>
      <c r="J60" s="52"/>
      <c r="K60" s="52"/>
      <c r="L60" s="52"/>
      <c r="M60" s="52"/>
      <c r="N60" s="52"/>
      <c r="O60" s="52"/>
      <c r="P60" s="52"/>
      <c r="Q60" s="160"/>
    </row>
    <row r="61" spans="1:23" x14ac:dyDescent="0.2">
      <c r="A61" s="52"/>
      <c r="B61" s="52"/>
      <c r="C61" s="52"/>
      <c r="D61" s="52"/>
      <c r="E61" s="52"/>
      <c r="F61" s="52"/>
      <c r="G61" s="52"/>
      <c r="H61" s="52"/>
      <c r="I61" s="52"/>
      <c r="J61" s="52"/>
      <c r="K61" s="52"/>
      <c r="L61" s="52"/>
      <c r="M61" s="52"/>
      <c r="N61" s="52"/>
      <c r="O61" s="52"/>
      <c r="P61" s="52"/>
      <c r="Q61" s="160"/>
    </row>
    <row r="62" spans="1:23" x14ac:dyDescent="0.2">
      <c r="A62" s="52"/>
      <c r="B62" s="52"/>
      <c r="C62" s="52"/>
      <c r="D62" s="52"/>
      <c r="E62" s="52"/>
      <c r="F62" s="52"/>
      <c r="G62" s="52"/>
      <c r="H62" s="52"/>
      <c r="I62" s="52"/>
      <c r="J62" s="52"/>
      <c r="K62" s="52"/>
      <c r="L62" s="52"/>
      <c r="M62" s="52"/>
      <c r="N62" s="52"/>
      <c r="O62" s="52"/>
      <c r="P62" s="52"/>
      <c r="Q62" s="160"/>
    </row>
    <row r="63" spans="1:23" x14ac:dyDescent="0.2">
      <c r="Q63" s="160"/>
    </row>
    <row r="64" spans="1:23" x14ac:dyDescent="0.2">
      <c r="Q64" s="160"/>
    </row>
  </sheetData>
  <mergeCells count="58">
    <mergeCell ref="B51:I51"/>
    <mergeCell ref="K51:O51"/>
    <mergeCell ref="K52:O52"/>
    <mergeCell ref="K48:O48"/>
    <mergeCell ref="K49:O49"/>
    <mergeCell ref="K54:O54"/>
    <mergeCell ref="K53:O53"/>
    <mergeCell ref="K43:O43"/>
    <mergeCell ref="K46:O46"/>
    <mergeCell ref="K47:O47"/>
    <mergeCell ref="K50:O50"/>
    <mergeCell ref="B55:I55"/>
    <mergeCell ref="K55:O55"/>
    <mergeCell ref="K56:O56"/>
    <mergeCell ref="K57:O57"/>
    <mergeCell ref="K58:O58"/>
    <mergeCell ref="B57:I57"/>
    <mergeCell ref="B45:I45"/>
    <mergeCell ref="K37:O37"/>
    <mergeCell ref="K39:O39"/>
    <mergeCell ref="K40:O40"/>
    <mergeCell ref="K41:O41"/>
    <mergeCell ref="K28:O28"/>
    <mergeCell ref="K29:O29"/>
    <mergeCell ref="K30:O30"/>
    <mergeCell ref="K42:O42"/>
    <mergeCell ref="K31:O31"/>
    <mergeCell ref="K32:O32"/>
    <mergeCell ref="K33:O33"/>
    <mergeCell ref="K34:O34"/>
    <mergeCell ref="K35:O35"/>
    <mergeCell ref="K36:O36"/>
    <mergeCell ref="K23:O23"/>
    <mergeCell ref="K25:O25"/>
    <mergeCell ref="K26:O26"/>
    <mergeCell ref="B27:I27"/>
    <mergeCell ref="K27:O27"/>
    <mergeCell ref="K17:O17"/>
    <mergeCell ref="K18:O18"/>
    <mergeCell ref="K19:O19"/>
    <mergeCell ref="K20:O20"/>
    <mergeCell ref="K22:O22"/>
    <mergeCell ref="B4:P4"/>
    <mergeCell ref="B24:P24"/>
    <mergeCell ref="B2:P3"/>
    <mergeCell ref="K5:O5"/>
    <mergeCell ref="K6:O6"/>
    <mergeCell ref="K7:O7"/>
    <mergeCell ref="K8:O8"/>
    <mergeCell ref="K9:O9"/>
    <mergeCell ref="K21:O21"/>
    <mergeCell ref="K10:O10"/>
    <mergeCell ref="K11:O11"/>
    <mergeCell ref="K12:O12"/>
    <mergeCell ref="K13:O13"/>
    <mergeCell ref="K14:O14"/>
    <mergeCell ref="K15:O15"/>
    <mergeCell ref="K16:O16"/>
  </mergeCells>
  <phoneticPr fontId="27" type="noConversion"/>
  <pageMargins left="0.70866141732283472" right="0.70866141732283472" top="0.56000000000000005" bottom="0.5" header="0.31496062992125984" footer="0.31496062992125984"/>
  <drawing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6"/>
  <dimension ref="A1:S15"/>
  <sheetViews>
    <sheetView showGridLines="0" zoomScale="90" zoomScaleNormal="90" zoomScalePageLayoutView="90" workbookViewId="0"/>
  </sheetViews>
  <sheetFormatPr baseColWidth="10" defaultColWidth="11.42578125" defaultRowHeight="15" x14ac:dyDescent="0.25"/>
  <cols>
    <col min="1" max="1" width="4.7109375" customWidth="1"/>
    <col min="2" max="3" width="9.28515625" customWidth="1"/>
    <col min="4" max="4" width="20" customWidth="1"/>
    <col min="5" max="7" width="9.28515625" customWidth="1"/>
    <col min="8" max="8" width="10.42578125" customWidth="1"/>
    <col min="9" max="9" width="5.5703125" bestFit="1" customWidth="1"/>
    <col min="10" max="14" width="4.28515625" customWidth="1"/>
    <col min="15" max="15" width="2.140625" bestFit="1" customWidth="1"/>
    <col min="19" max="19" width="12" bestFit="1" customWidth="1"/>
  </cols>
  <sheetData>
    <row r="1" spans="1:19" x14ac:dyDescent="0.25">
      <c r="A1" s="52"/>
      <c r="B1" s="52"/>
      <c r="C1" s="52"/>
      <c r="D1" s="52"/>
      <c r="E1" s="52"/>
      <c r="F1" s="52"/>
      <c r="G1" s="52"/>
      <c r="H1" s="52"/>
      <c r="I1" s="52"/>
      <c r="J1" s="52"/>
      <c r="K1" s="52"/>
      <c r="L1" s="52"/>
      <c r="M1" s="52"/>
      <c r="N1" s="52"/>
      <c r="O1" s="52"/>
    </row>
    <row r="2" spans="1:19" ht="15" customHeight="1" x14ac:dyDescent="0.25">
      <c r="A2" s="52"/>
      <c r="B2" s="741" t="s">
        <v>151</v>
      </c>
      <c r="C2" s="742"/>
      <c r="D2" s="742"/>
      <c r="E2" s="742"/>
      <c r="F2" s="742"/>
      <c r="G2" s="742"/>
      <c r="H2" s="742"/>
      <c r="I2" s="742"/>
      <c r="J2" s="742"/>
      <c r="K2" s="742"/>
      <c r="L2" s="742"/>
      <c r="M2" s="742"/>
      <c r="N2" s="742"/>
      <c r="O2" s="743"/>
    </row>
    <row r="3" spans="1:19" x14ac:dyDescent="0.25">
      <c r="A3" s="52"/>
      <c r="B3" s="744"/>
      <c r="C3" s="745"/>
      <c r="D3" s="745"/>
      <c r="E3" s="745"/>
      <c r="F3" s="745"/>
      <c r="G3" s="745"/>
      <c r="H3" s="745"/>
      <c r="I3" s="745"/>
      <c r="J3" s="745"/>
      <c r="K3" s="745"/>
      <c r="L3" s="745"/>
      <c r="M3" s="745"/>
      <c r="N3" s="745"/>
      <c r="O3" s="746"/>
    </row>
    <row r="4" spans="1:19" ht="18" customHeight="1" x14ac:dyDescent="0.25">
      <c r="A4" s="52"/>
      <c r="B4" s="747" t="s">
        <v>152</v>
      </c>
      <c r="C4" s="748"/>
      <c r="D4" s="748"/>
      <c r="E4" s="748"/>
      <c r="F4" s="748"/>
      <c r="G4" s="748"/>
      <c r="H4" s="749"/>
      <c r="I4" s="243">
        <v>1698</v>
      </c>
      <c r="J4" s="750">
        <f ca="1">+'RAI Final'!F4</f>
        <v>139653408</v>
      </c>
      <c r="K4" s="750"/>
      <c r="L4" s="750"/>
      <c r="M4" s="750"/>
      <c r="N4" s="751"/>
      <c r="O4" s="237" t="s">
        <v>97</v>
      </c>
      <c r="P4" s="12">
        <f ca="1">+IF(J4&gt;0,1,0)</f>
        <v>1</v>
      </c>
    </row>
    <row r="5" spans="1:19" ht="18" customHeight="1" x14ac:dyDescent="0.25">
      <c r="A5" s="52"/>
      <c r="B5" s="747" t="s">
        <v>153</v>
      </c>
      <c r="C5" s="748"/>
      <c r="D5" s="748"/>
      <c r="E5" s="748"/>
      <c r="F5" s="748"/>
      <c r="G5" s="748"/>
      <c r="H5" s="749"/>
      <c r="I5" s="243">
        <v>1717</v>
      </c>
      <c r="J5" s="750"/>
      <c r="K5" s="750"/>
      <c r="L5" s="750"/>
      <c r="M5" s="750"/>
      <c r="N5" s="751"/>
      <c r="O5" s="392" t="s">
        <v>102</v>
      </c>
      <c r="P5" s="12">
        <f t="shared" ref="P5:P13" si="0">+IF(J5&gt;0,1,0)</f>
        <v>0</v>
      </c>
    </row>
    <row r="6" spans="1:19" ht="18" customHeight="1" x14ac:dyDescent="0.25">
      <c r="A6" s="52"/>
      <c r="B6" s="752" t="s">
        <v>154</v>
      </c>
      <c r="C6" s="753"/>
      <c r="D6" s="753"/>
      <c r="E6" s="753"/>
      <c r="F6" s="753"/>
      <c r="G6" s="753"/>
      <c r="H6" s="754"/>
      <c r="I6" s="392">
        <v>1692</v>
      </c>
      <c r="J6" s="755"/>
      <c r="K6" s="756"/>
      <c r="L6" s="756"/>
      <c r="M6" s="756"/>
      <c r="N6" s="757"/>
      <c r="O6" s="392" t="s">
        <v>97</v>
      </c>
      <c r="P6" s="12">
        <f t="shared" si="0"/>
        <v>0</v>
      </c>
    </row>
    <row r="7" spans="1:19" ht="18" customHeight="1" x14ac:dyDescent="0.25">
      <c r="A7" s="52"/>
      <c r="B7" s="758" t="s">
        <v>155</v>
      </c>
      <c r="C7" s="759"/>
      <c r="D7" s="759"/>
      <c r="E7" s="759"/>
      <c r="F7" s="759"/>
      <c r="G7" s="759"/>
      <c r="H7" s="760"/>
      <c r="I7" s="244">
        <v>1699</v>
      </c>
      <c r="J7" s="739">
        <f>+'RAI Final'!F5</f>
        <v>61284000</v>
      </c>
      <c r="K7" s="739"/>
      <c r="L7" s="739"/>
      <c r="M7" s="739"/>
      <c r="N7" s="740"/>
      <c r="O7" s="237" t="s">
        <v>97</v>
      </c>
      <c r="P7" s="12">
        <f t="shared" si="0"/>
        <v>1</v>
      </c>
    </row>
    <row r="8" spans="1:19" ht="18" customHeight="1" x14ac:dyDescent="0.25">
      <c r="A8" s="52"/>
      <c r="B8" s="761" t="s">
        <v>156</v>
      </c>
      <c r="C8" s="762"/>
      <c r="D8" s="762"/>
      <c r="E8" s="762"/>
      <c r="F8" s="762"/>
      <c r="G8" s="762"/>
      <c r="H8" s="763"/>
      <c r="I8" s="392">
        <v>1718</v>
      </c>
      <c r="J8" s="755">
        <f ca="1">SUM(J6:N7,J4)</f>
        <v>200937408</v>
      </c>
      <c r="K8" s="756"/>
      <c r="L8" s="756"/>
      <c r="M8" s="756"/>
      <c r="N8" s="757"/>
      <c r="O8" s="392" t="s">
        <v>64</v>
      </c>
      <c r="P8" s="12">
        <f t="shared" ca="1" si="0"/>
        <v>1</v>
      </c>
    </row>
    <row r="9" spans="1:19" ht="18" customHeight="1" x14ac:dyDescent="0.25">
      <c r="A9" s="52"/>
      <c r="B9" s="738" t="s">
        <v>157</v>
      </c>
      <c r="C9" s="659"/>
      <c r="D9" s="659"/>
      <c r="E9" s="659"/>
      <c r="F9" s="659"/>
      <c r="G9" s="659"/>
      <c r="H9" s="660"/>
      <c r="I9" s="244">
        <v>1693</v>
      </c>
      <c r="J9" s="739">
        <f>-'RAI Final'!F6</f>
        <v>180526</v>
      </c>
      <c r="K9" s="739"/>
      <c r="L9" s="739"/>
      <c r="M9" s="739"/>
      <c r="N9" s="740"/>
      <c r="O9" s="237" t="s">
        <v>102</v>
      </c>
      <c r="P9" s="12">
        <f t="shared" si="0"/>
        <v>1</v>
      </c>
    </row>
    <row r="10" spans="1:19" ht="18" customHeight="1" x14ac:dyDescent="0.25">
      <c r="A10" s="52"/>
      <c r="B10" s="764" t="s">
        <v>158</v>
      </c>
      <c r="C10" s="765"/>
      <c r="D10" s="765"/>
      <c r="E10" s="765"/>
      <c r="F10" s="765"/>
      <c r="G10" s="765"/>
      <c r="H10" s="766"/>
      <c r="I10" s="392">
        <v>844</v>
      </c>
      <c r="J10" s="755">
        <f>-'RAI Final'!F7</f>
        <v>120373886</v>
      </c>
      <c r="K10" s="756"/>
      <c r="L10" s="756"/>
      <c r="M10" s="756"/>
      <c r="N10" s="757"/>
      <c r="O10" s="392" t="s">
        <v>102</v>
      </c>
      <c r="P10" s="12">
        <f t="shared" si="0"/>
        <v>1</v>
      </c>
    </row>
    <row r="11" spans="1:19" ht="25.5" customHeight="1" x14ac:dyDescent="0.25">
      <c r="A11" s="52"/>
      <c r="B11" s="764" t="s">
        <v>159</v>
      </c>
      <c r="C11" s="765"/>
      <c r="D11" s="765"/>
      <c r="E11" s="765"/>
      <c r="F11" s="765"/>
      <c r="G11" s="765"/>
      <c r="H11" s="766"/>
      <c r="I11" s="392">
        <v>982</v>
      </c>
      <c r="J11" s="755"/>
      <c r="K11" s="756"/>
      <c r="L11" s="756"/>
      <c r="M11" s="756"/>
      <c r="N11" s="757"/>
      <c r="O11" s="392" t="s">
        <v>102</v>
      </c>
      <c r="P11" s="12">
        <f t="shared" si="0"/>
        <v>0</v>
      </c>
      <c r="S11" s="17"/>
    </row>
    <row r="12" spans="1:19" ht="27.75" customHeight="1" x14ac:dyDescent="0.25">
      <c r="A12" s="52"/>
      <c r="B12" s="735" t="s">
        <v>160</v>
      </c>
      <c r="C12" s="736"/>
      <c r="D12" s="736"/>
      <c r="E12" s="736"/>
      <c r="F12" s="736"/>
      <c r="G12" s="736"/>
      <c r="H12" s="737"/>
      <c r="I12" s="246">
        <v>1198</v>
      </c>
      <c r="J12" s="731"/>
      <c r="K12" s="731"/>
      <c r="L12" s="731"/>
      <c r="M12" s="731"/>
      <c r="N12" s="732"/>
      <c r="O12" s="392" t="s">
        <v>102</v>
      </c>
      <c r="P12" s="12">
        <f t="shared" si="0"/>
        <v>0</v>
      </c>
      <c r="S12" s="17"/>
    </row>
    <row r="13" spans="1:19" s="13" customFormat="1" ht="19.5" customHeight="1" x14ac:dyDescent="0.25">
      <c r="A13" s="83"/>
      <c r="B13" s="727" t="s">
        <v>161</v>
      </c>
      <c r="C13" s="728"/>
      <c r="D13" s="728"/>
      <c r="E13" s="728"/>
      <c r="F13" s="728"/>
      <c r="G13" s="728"/>
      <c r="H13" s="729"/>
      <c r="I13" s="246">
        <v>1199</v>
      </c>
      <c r="J13" s="731">
        <f ca="1">-SUM(J9:N12)+J8</f>
        <v>80382996</v>
      </c>
      <c r="K13" s="733"/>
      <c r="L13" s="733"/>
      <c r="M13" s="733"/>
      <c r="N13" s="734"/>
      <c r="O13" s="398" t="s">
        <v>64</v>
      </c>
      <c r="P13" s="12">
        <f t="shared" ca="1" si="0"/>
        <v>1</v>
      </c>
    </row>
    <row r="15" spans="1:19" x14ac:dyDescent="0.25">
      <c r="B15" s="24"/>
    </row>
  </sheetData>
  <mergeCells count="21">
    <mergeCell ref="B13:H13"/>
    <mergeCell ref="J13:N13"/>
    <mergeCell ref="B10:H10"/>
    <mergeCell ref="J10:N10"/>
    <mergeCell ref="B11:H11"/>
    <mergeCell ref="J11:N11"/>
    <mergeCell ref="B12:H12"/>
    <mergeCell ref="J12:N12"/>
    <mergeCell ref="B9:H9"/>
    <mergeCell ref="J9:N9"/>
    <mergeCell ref="B2:O3"/>
    <mergeCell ref="B4:H4"/>
    <mergeCell ref="J4:N4"/>
    <mergeCell ref="B5:H5"/>
    <mergeCell ref="J5:N5"/>
    <mergeCell ref="B6:H6"/>
    <mergeCell ref="J6:N6"/>
    <mergeCell ref="B7:H7"/>
    <mergeCell ref="J7:N7"/>
    <mergeCell ref="B8:H8"/>
    <mergeCell ref="J8:N8"/>
  </mergeCells>
  <phoneticPr fontId="27"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1A6BC1F09C7F74295BCF86B6AAB5361" ma:contentTypeVersion="3" ma:contentTypeDescription="Crear nuevo documento." ma:contentTypeScope="" ma:versionID="851bf6f6f834046125e7e5e4021dd347">
  <xsd:schema xmlns:xsd="http://www.w3.org/2001/XMLSchema" xmlns:xs="http://www.w3.org/2001/XMLSchema" xmlns:p="http://schemas.microsoft.com/office/2006/metadata/properties" xmlns:ns2="fbbd845a-e295-4ab8-920d-215652fdca24" targetNamespace="http://schemas.microsoft.com/office/2006/metadata/properties" ma:root="true" ma:fieldsID="95ace7efc7ded8afb45f2f82836754a7" ns2:_="">
    <xsd:import namespace="fbbd845a-e295-4ab8-920d-215652fdca2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bd845a-e295-4ab8-920d-215652fdc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60B25-E458-4BED-B906-8529030E4D09}">
  <ds:schemaRef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fbbd845a-e295-4ab8-920d-215652fdca24"/>
    <ds:schemaRef ds:uri="http://purl.org/dc/terms/"/>
  </ds:schemaRefs>
</ds:datastoreItem>
</file>

<file path=customXml/itemProps2.xml><?xml version="1.0" encoding="utf-8"?>
<ds:datastoreItem xmlns:ds="http://schemas.openxmlformats.org/officeDocument/2006/customXml" ds:itemID="{45597347-5257-464D-B27C-79D83EDBFECD}">
  <ds:schemaRefs>
    <ds:schemaRef ds:uri="http://schemas.microsoft.com/sharepoint/v3/contenttype/forms"/>
  </ds:schemaRefs>
</ds:datastoreItem>
</file>

<file path=customXml/itemProps3.xml><?xml version="1.0" encoding="utf-8"?>
<ds:datastoreItem xmlns:ds="http://schemas.openxmlformats.org/officeDocument/2006/customXml" ds:itemID="{EE1E7565-120D-41FE-B7F0-BAE9AAFE5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bd845a-e295-4ab8-920d-215652fdca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Antecedentes</vt:lpstr>
      <vt:lpstr>Crédito IPE</vt:lpstr>
      <vt:lpstr>RLI</vt:lpstr>
      <vt:lpstr>RTRE</vt:lpstr>
      <vt:lpstr>RAI Final</vt:lpstr>
      <vt:lpstr>Razonabilidad CPT</vt:lpstr>
      <vt:lpstr>Retiros y situacion Trib.</vt:lpstr>
      <vt:lpstr>R12</vt:lpstr>
      <vt:lpstr>R13</vt:lpstr>
      <vt:lpstr>R14</vt:lpstr>
      <vt:lpstr>R15</vt:lpstr>
      <vt:lpstr>R16</vt:lpstr>
      <vt:lpstr>F1926</vt:lpstr>
      <vt:lpstr>F1948</vt:lpstr>
      <vt:lpstr>ANEXO N°1 (DDJJ 1847 y 1926)</vt:lpstr>
      <vt:lpstr>Antecedentes!Área_de_impresión</vt:lpstr>
      <vt:lpstr>'Crédito IPE'!Área_de_impresión</vt:lpstr>
      <vt:lpstr>'F1948'!Área_de_impresión</vt:lpstr>
      <vt:lpstr>RLI!Área_de_impresión</vt:lpstr>
      <vt:lpstr>RTRE!Área_de_impresión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Catalina Cecilia Collao Jofré</cp:lastModifiedBy>
  <cp:revision/>
  <cp:lastPrinted>2026-01-25T18:47:58Z</cp:lastPrinted>
  <dcterms:created xsi:type="dcterms:W3CDTF">2020-05-13T12:34:05Z</dcterms:created>
  <dcterms:modified xsi:type="dcterms:W3CDTF">2026-01-30T15:54:22Z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0x010100B1A6BC1F09C7F74295BCF86B6AAB5361</vt:lpwstr>
  </property>
  <property fmtid="{D5CDD505-2E9C-101B-9397-08002B2CF9AE}" pid="3" name="MediaServiceImageTags">
    <vt:lpwstr/>
  </property>
</Properties>
</file>