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autoCompressPictures="0" defaultThemeVersion="166925"/>
  <mc:AlternateContent xmlns:mc="http://schemas.openxmlformats.org/markup-compatibility/2006">
    <mc:Choice Requires="x15">
      <x15ac:absPath xmlns:x15ac="http://schemas.microsoft.com/office/spreadsheetml/2010/11/ac" url="https://chilesii.sharepoint.com/teams/InstruccionesF22AT2026/Documentos compartidos/General/CCJ y LOF 23.01/"/>
    </mc:Choice>
  </mc:AlternateContent>
  <xr:revisionPtr revIDLastSave="1225" documentId="13_ncr:1_{847ADC05-2F4E-42A2-90F6-83E42ABF52D7}" xr6:coauthVersionLast="47" xr6:coauthVersionMax="47" xr10:uidLastSave="{8316B2AB-D483-4C30-89DB-F19FD8DC30A2}"/>
  <bookViews>
    <workbookView xWindow="-120" yWindow="-120" windowWidth="29040" windowHeight="15720" tabRatio="889" xr2:uid="{00000000-000D-0000-FFFF-FFFF00000000}"/>
  </bookViews>
  <sheets>
    <sheet name="Antecedentes" sheetId="1" r:id="rId1"/>
    <sheet name="Crédito IPE" sheetId="22" r:id="rId2"/>
    <sheet name="BI y art.14 letra E)" sheetId="4" r:id="rId3"/>
    <sheet name="RAI Final" sheetId="8" r:id="rId4"/>
    <sheet name="RTRE" sheetId="6" r:id="rId5"/>
    <sheet name="CPT Simplificado" sheetId="7" r:id="rId6"/>
    <sheet name="R17 " sheetId="14" r:id="rId7"/>
    <sheet name="R18 " sheetId="12" r:id="rId8"/>
    <sheet name="R19" sheetId="15" r:id="rId9"/>
    <sheet name="R20" sheetId="25" r:id="rId10"/>
    <sheet name="R21" sheetId="26" r:id="rId11"/>
    <sheet name="Datos para DJ 1948" sheetId="19" r:id="rId12"/>
    <sheet name="F1948" sheetId="27" r:id="rId13"/>
    <sheet name="C70 Sr. Ortiz" sheetId="28" r:id="rId14"/>
  </sheets>
  <externalReferences>
    <externalReference r:id="rId15"/>
    <externalReference r:id="rId16"/>
  </externalReferences>
  <definedNames>
    <definedName name="aa">#REF!</definedName>
    <definedName name="aaa">#REF!</definedName>
    <definedName name="aaaa">#REF!</definedName>
    <definedName name="_xlnm.Print_Area" localSheetId="2">'BI y art.14 letra E)'!$A$1:$P$53</definedName>
    <definedName name="_xlnm.Print_Area" localSheetId="5">'CPT Simplificado'!$A$1:$J$15</definedName>
    <definedName name="_xlnm.Print_Area" localSheetId="1">'Crédito IPE'!$B$2:$K$9,'Crédito IPE'!$B$10:$K$41</definedName>
    <definedName name="_xlnm.Print_Area" localSheetId="12">'F1948'!$A$1:$AI$51</definedName>
    <definedName name="_xlnm.Print_Area" localSheetId="6">'R17 '!$B$1:$N$45</definedName>
    <definedName name="_xlnm.Print_Area" localSheetId="7">'R18 '!$A$1:$N$17</definedName>
    <definedName name="_xlnm.Print_Area" localSheetId="8">'R19'!$A$1:$I$26</definedName>
    <definedName name="_xlnm.Print_Area" localSheetId="4">RTRE!$A$1:$T$28</definedName>
    <definedName name="casa">#REF!</definedName>
    <definedName name="CERTIFICADO" localSheetId="1">#REF!</definedName>
    <definedName name="CERTIFICADO">#REF!</definedName>
    <definedName name="Codigo" localSheetId="1">#REF!</definedName>
    <definedName name="Codigo">#REF!</definedName>
    <definedName name="g">#REF!</definedName>
    <definedName name="ggg">#REF!</definedName>
    <definedName name="GVKey">""</definedName>
    <definedName name="INVERSION" localSheetId="1">#REF!</definedName>
    <definedName name="INVERSION" localSheetId="6">#REF!</definedName>
    <definedName name="INVERSION" localSheetId="7">#REF!</definedName>
    <definedName name="INVERSION" localSheetId="8">#REF!</definedName>
    <definedName name="INVERSION">#REF!</definedName>
    <definedName name="mmm">#REF!</definedName>
    <definedName name="operacion" localSheetId="1">#REF!</definedName>
    <definedName name="operacion" localSheetId="6">#REF!</definedName>
    <definedName name="operacion" localSheetId="7">#REF!</definedName>
    <definedName name="operacion" localSheetId="8">#REF!</definedName>
    <definedName name="operacion">#REF!</definedName>
    <definedName name="OPERACION1" localSheetId="1">#REF!</definedName>
    <definedName name="OPERACION1" localSheetId="6">#REF!</definedName>
    <definedName name="OPERACION1" localSheetId="7">#REF!</definedName>
    <definedName name="OPERACION1" localSheetId="8">#REF!</definedName>
    <definedName name="OPERACION1">#REF!</definedName>
    <definedName name="operacion4">#REF!</definedName>
    <definedName name="pert">#REF!</definedName>
    <definedName name="SPSet">"current"</definedName>
    <definedName name="SPWS_WBID">""</definedName>
    <definedName name="ssss">#REF!</definedName>
    <definedName name="_xlnm.Print_Titles" localSheetId="6">'R17 '!$1:$4</definedName>
    <definedName name="TopRankDefaultDistForRange" hidden="1">0</definedName>
    <definedName name="TopRankDefaultMaxChange" hidden="1">"0,1"</definedName>
    <definedName name="TopRankDefaultMultiGroupSize" hidden="1">2</definedName>
    <definedName name="TopRankDefaultMultiStepsPerInput" hidden="1">2</definedName>
    <definedName name="TopRankDefaultRangeType" hidden="1">0</definedName>
    <definedName name="TopRankDefaultStepsPerInput" hidden="1">5</definedName>
    <definedName name="TopRankDetailByInputReport" hidden="1">FALSE</definedName>
    <definedName name="TopRankMaxInputsPerGraph" hidden="1">10</definedName>
    <definedName name="TopRankMultiWayReport" hidden="1">FALSE</definedName>
    <definedName name="TopRankNumberOfRuns" hidden="1">1</definedName>
    <definedName name="TopRankOnlyInputsChangeThreshold">"0,01"</definedName>
    <definedName name="TopRankOnlyInputsOverThreshold" hidden="1">TRUE</definedName>
    <definedName name="TopRankOnlyTopRanking" hidden="1">TRUE</definedName>
    <definedName name="TopRankOutputDetailReport" hidden="1">FALSE</definedName>
    <definedName name="TopRankOutputsAsPercentChange" hidden="1">FALSE</definedName>
    <definedName name="TopRankOverwriteExisting" hidden="1">FALSE</definedName>
    <definedName name="TopRankPauseOnError" hidden="1">FALSE</definedName>
    <definedName name="TopRankPerformPrecedentScanAddOutput" hidden="1">FALSE</definedName>
    <definedName name="TopRankPerformPrecedentScanAtStart" hidden="1">TRUE</definedName>
    <definedName name="TopRankPrecedentScanType" hidden="1">1</definedName>
    <definedName name="TopRankReportAllOutputCells" hidden="1">TRUE</definedName>
    <definedName name="TopRankReportsInExistingWorkbook" hidden="1">FALSE</definedName>
    <definedName name="TopRankReportsInExistingWorkbookName" hidden="1">"Libro de trabajo activo"</definedName>
    <definedName name="TopRankReportsInNewWorkbook" hidden="1">TRUE</definedName>
    <definedName name="TopRankSensitivityGraphs" hidden="1">FALSE</definedName>
    <definedName name="TopRankSingleWorkbookAllResults" hidden="1">FALSE</definedName>
    <definedName name="TopRankSpiderGraphs" hidden="1">TRUE</definedName>
    <definedName name="TopRankTornadoGraphs" hidden="1">TRUE</definedName>
    <definedName name="TopRankUpdateDisplay" hidden="1">FALSE</definedName>
    <definedName name="v" localSheetId="12">'[1]Registrar F.22 AT.2013'!$A$2:$B$182</definedName>
    <definedName name="v" localSheetId="6">'[2]Registrar '!$A$2:$B$182</definedName>
    <definedName name="v" localSheetId="7">'[2]Registrar '!$A$2:$B$182</definedName>
    <definedName name="v" localSheetId="8">'[2]Registrar '!$A$2:$B$182</definedName>
    <definedName name="v">'[2]Registrar  AT.Actual'!$A$2:$B$182</definedName>
    <definedName name="x">'[2]Registrar  AT.-1'!$A:$B</definedName>
    <definedName name="z">#REF!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http://schemas.microsoft.com/office/mac/excel/2008/main">
      <mx:ArchID Flags="2"/>
    </ext>
  </extLst>
</workbook>
</file>

<file path=xl/calcChain.xml><?xml version="1.0" encoding="utf-8"?>
<calcChain xmlns="http://schemas.openxmlformats.org/spreadsheetml/2006/main">
  <c r="K20" i="6" l="1"/>
  <c r="K40" i="22"/>
  <c r="C33" i="4"/>
  <c r="C30" i="4"/>
  <c r="C29" i="4"/>
  <c r="C22" i="4"/>
  <c r="C26" i="4"/>
  <c r="C25" i="4"/>
  <c r="C24" i="4"/>
  <c r="C23" i="4"/>
  <c r="C19" i="4"/>
  <c r="C21" i="4"/>
  <c r="C20" i="4"/>
  <c r="C18" i="4"/>
  <c r="C17" i="4"/>
  <c r="C13" i="4"/>
  <c r="C12" i="4"/>
  <c r="C6" i="4"/>
  <c r="C10" i="4"/>
  <c r="C9" i="4"/>
  <c r="C5" i="4"/>
  <c r="J49" i="1" l="1"/>
  <c r="L30" i="1" l="1"/>
  <c r="L37" i="1"/>
  <c r="L44" i="1"/>
  <c r="J10" i="1"/>
  <c r="G20" i="28" l="1"/>
  <c r="D20" i="28"/>
  <c r="C20" i="28"/>
  <c r="D4" i="28"/>
  <c r="D3" i="28"/>
  <c r="AF44" i="27"/>
  <c r="D26" i="27"/>
  <c r="D25" i="27"/>
  <c r="B26" i="27"/>
  <c r="B25" i="27"/>
  <c r="B20" i="28" s="1"/>
  <c r="K27" i="1"/>
  <c r="K26" i="1"/>
  <c r="K25" i="1"/>
  <c r="K30" i="1" l="1"/>
  <c r="E38" i="1"/>
  <c r="K38" i="1" l="1"/>
  <c r="I21" i="22"/>
  <c r="I20" i="22"/>
  <c r="J14" i="22"/>
  <c r="L38" i="1" l="1"/>
  <c r="K49" i="1"/>
  <c r="J19" i="22"/>
  <c r="J22" i="22" s="1"/>
  <c r="K18" i="22" s="1"/>
  <c r="J29" i="22" s="1"/>
  <c r="L35" i="1"/>
  <c r="L21" i="1"/>
  <c r="L23" i="1" s="1"/>
  <c r="K12" i="4" l="1"/>
  <c r="H26" i="22"/>
  <c r="L8" i="1" l="1"/>
  <c r="N14" i="6"/>
  <c r="P12" i="26" s="1"/>
  <c r="O90" i="1"/>
  <c r="E77" i="1"/>
  <c r="F77" i="1"/>
  <c r="F70" i="1"/>
  <c r="G70" i="1" s="1"/>
  <c r="I93" i="1"/>
  <c r="H9" i="6" s="1"/>
  <c r="F78" i="1"/>
  <c r="F71" i="1"/>
  <c r="L32" i="1"/>
  <c r="L33" i="1" s="1"/>
  <c r="F6" i="7"/>
  <c r="D14" i="15" s="1"/>
  <c r="E71" i="1"/>
  <c r="E20" i="6" s="1"/>
  <c r="G20" i="6" s="1"/>
  <c r="K9" i="1"/>
  <c r="L9" i="1" s="1"/>
  <c r="E78" i="1"/>
  <c r="K20" i="4"/>
  <c r="L36" i="1"/>
  <c r="K14" i="6"/>
  <c r="F12" i="26" s="1"/>
  <c r="K19" i="1"/>
  <c r="J19" i="1"/>
  <c r="L16" i="1"/>
  <c r="L17" i="1"/>
  <c r="L18" i="1"/>
  <c r="L15" i="1"/>
  <c r="K21" i="4"/>
  <c r="K6" i="4"/>
  <c r="K25" i="4"/>
  <c r="K29" i="4" s="1"/>
  <c r="K26" i="4"/>
  <c r="K30" i="4" s="1"/>
  <c r="M44" i="4"/>
  <c r="K24" i="4"/>
  <c r="K23" i="4"/>
  <c r="K22" i="4"/>
  <c r="D26" i="4"/>
  <c r="D30" i="4" s="1"/>
  <c r="D25" i="4"/>
  <c r="D29" i="4" s="1"/>
  <c r="D23" i="4"/>
  <c r="D17" i="4"/>
  <c r="D19" i="4"/>
  <c r="D21" i="4"/>
  <c r="D22" i="4"/>
  <c r="F4" i="7"/>
  <c r="F8" i="7"/>
  <c r="K40" i="4" s="1"/>
  <c r="F9" i="7"/>
  <c r="K41" i="4" s="1"/>
  <c r="E17" i="6"/>
  <c r="M9" i="6"/>
  <c r="J9" i="6"/>
  <c r="E21" i="6"/>
  <c r="L9" i="6"/>
  <c r="J6" i="26" s="1"/>
  <c r="K9" i="6"/>
  <c r="F6" i="26" s="1"/>
  <c r="I9" i="6"/>
  <c r="N6" i="25" s="1"/>
  <c r="I12" i="6"/>
  <c r="O9" i="6"/>
  <c r="P6" i="25" s="1"/>
  <c r="N9" i="6"/>
  <c r="P6" i="26" s="1"/>
  <c r="P18" i="26" s="1"/>
  <c r="G9" i="6"/>
  <c r="D6" i="25" s="1"/>
  <c r="D20" i="6"/>
  <c r="B20" i="6"/>
  <c r="D17" i="6"/>
  <c r="B17" i="6"/>
  <c r="O14" i="6"/>
  <c r="P13" i="25" s="1"/>
  <c r="P17" i="25" s="1"/>
  <c r="K31" i="4" l="1"/>
  <c r="K19" i="4"/>
  <c r="K5" i="4"/>
  <c r="L19" i="1"/>
  <c r="F12" i="6"/>
  <c r="N13" i="25"/>
  <c r="N17" i="25" s="1"/>
  <c r="G17" i="6"/>
  <c r="E19" i="6"/>
  <c r="M17" i="6" s="1"/>
  <c r="E18" i="6"/>
  <c r="D4" i="15"/>
  <c r="K21" i="6"/>
  <c r="F17" i="26" s="1"/>
  <c r="F9" i="6"/>
  <c r="I15" i="6"/>
  <c r="I22" i="6" s="1"/>
  <c r="K7" i="4"/>
  <c r="G77" i="1"/>
  <c r="E79" i="1"/>
  <c r="L47" i="1" s="1"/>
  <c r="K13" i="22"/>
  <c r="J33" i="22" s="1"/>
  <c r="G78" i="1"/>
  <c r="N15" i="6"/>
  <c r="N22" i="6" s="1"/>
  <c r="G93" i="1"/>
  <c r="L14" i="6"/>
  <c r="J12" i="26" s="1"/>
  <c r="J18" i="26" s="1"/>
  <c r="G71" i="1"/>
  <c r="G72" i="1" s="1"/>
  <c r="E72" i="1"/>
  <c r="K39" i="4" s="1"/>
  <c r="G10" i="6"/>
  <c r="D11" i="25" s="1"/>
  <c r="D16" i="15"/>
  <c r="L10" i="1"/>
  <c r="F7" i="8" s="1"/>
  <c r="D10" i="12" s="1"/>
  <c r="O15" i="6"/>
  <c r="O22" i="6" s="1"/>
  <c r="D4" i="19"/>
  <c r="D5" i="19"/>
  <c r="F20" i="6"/>
  <c r="H15" i="6"/>
  <c r="K17" i="4"/>
  <c r="K10" i="1"/>
  <c r="D15" i="25" l="1"/>
  <c r="N6" i="6"/>
  <c r="K8" i="4"/>
  <c r="H25" i="22"/>
  <c r="I24" i="22" s="1"/>
  <c r="K24" i="22" s="1"/>
  <c r="J30" i="22" s="1"/>
  <c r="K28" i="22" s="1"/>
  <c r="L15" i="6"/>
  <c r="L22" i="6" s="1"/>
  <c r="F5" i="8"/>
  <c r="F7" i="7" s="1"/>
  <c r="D15" i="15" s="1"/>
  <c r="L48" i="1"/>
  <c r="L49" i="1" s="1"/>
  <c r="K9" i="4"/>
  <c r="G79" i="1"/>
  <c r="K13" i="4" s="1"/>
  <c r="K14" i="4" s="1"/>
  <c r="F10" i="6"/>
  <c r="E5" i="19"/>
  <c r="D11" i="19"/>
  <c r="F26" i="27" s="1"/>
  <c r="F6" i="8"/>
  <c r="D9" i="12" s="1"/>
  <c r="D10" i="19"/>
  <c r="D6" i="19"/>
  <c r="J34" i="22" l="1"/>
  <c r="K32" i="22" s="1"/>
  <c r="K38" i="22" s="1"/>
  <c r="J13" i="6" s="1"/>
  <c r="D11" i="26" s="1"/>
  <c r="D7" i="12"/>
  <c r="D12" i="19"/>
  <c r="F25" i="27"/>
  <c r="F17" i="6"/>
  <c r="K18" i="4"/>
  <c r="K27" i="4" s="1"/>
  <c r="K28" i="4" s="1"/>
  <c r="H22" i="6"/>
  <c r="E11" i="19"/>
  <c r="C44" i="27" l="1"/>
  <c r="I20" i="28"/>
  <c r="I21" i="28" s="1"/>
  <c r="K10" i="4"/>
  <c r="K11" i="4" s="1"/>
  <c r="K15" i="4" s="1"/>
  <c r="K32" i="4" s="1"/>
  <c r="E4" i="19"/>
  <c r="F20" i="28" s="1"/>
  <c r="K38" i="4" l="1"/>
  <c r="J15" i="6"/>
  <c r="J17" i="6" s="1"/>
  <c r="K17" i="6" s="1"/>
  <c r="D18" i="15"/>
  <c r="F10" i="7"/>
  <c r="M13" i="6"/>
  <c r="L11" i="26" s="1"/>
  <c r="E6" i="19"/>
  <c r="E10" i="19"/>
  <c r="K42" i="4" l="1"/>
  <c r="K43" i="4" s="1"/>
  <c r="E12" i="19"/>
  <c r="H20" i="28"/>
  <c r="H21" i="28" s="1"/>
  <c r="M15" i="6"/>
  <c r="J22" i="6" l="1"/>
  <c r="D15" i="26"/>
  <c r="D18" i="26" s="1"/>
  <c r="G4" i="19"/>
  <c r="G10" i="19" s="1"/>
  <c r="T25" i="27" s="1"/>
  <c r="K33" i="4"/>
  <c r="G5" i="19"/>
  <c r="G6" i="19" l="1"/>
  <c r="G11" i="19"/>
  <c r="Q44" i="27"/>
  <c r="W20" i="28"/>
  <c r="W21" i="28" s="1"/>
  <c r="K34" i="4"/>
  <c r="G12" i="19"/>
  <c r="M20" i="6"/>
  <c r="F11" i="7"/>
  <c r="D19" i="15" s="1"/>
  <c r="I4" i="19"/>
  <c r="I10" i="19" s="1"/>
  <c r="Z25" i="27" s="1"/>
  <c r="K35" i="4" l="1"/>
  <c r="E13" i="6"/>
  <c r="D5" i="14"/>
  <c r="D21" i="14"/>
  <c r="D6" i="14"/>
  <c r="L15" i="26"/>
  <c r="L18" i="26" s="1"/>
  <c r="AC20" i="28"/>
  <c r="AC21" i="28" s="1"/>
  <c r="I5" i="19"/>
  <c r="I11" i="19" s="1"/>
  <c r="Z26" i="27" s="1"/>
  <c r="W44" i="27" s="1"/>
  <c r="M22" i="6"/>
  <c r="F5" i="7"/>
  <c r="H4" i="19"/>
  <c r="H10" i="19" s="1"/>
  <c r="I6" i="19"/>
  <c r="K13" i="6" l="1"/>
  <c r="D7" i="14"/>
  <c r="D22" i="14"/>
  <c r="D40" i="14"/>
  <c r="D23" i="14"/>
  <c r="D24" i="14"/>
  <c r="D18" i="14"/>
  <c r="D19" i="14"/>
  <c r="D38" i="14"/>
  <c r="D11" i="14"/>
  <c r="D32" i="14"/>
  <c r="D10" i="14"/>
  <c r="D30" i="14"/>
  <c r="D28" i="14"/>
  <c r="H5" i="19"/>
  <c r="H6" i="19" s="1"/>
  <c r="F15" i="26"/>
  <c r="U25" i="27"/>
  <c r="J10" i="19"/>
  <c r="D9" i="15"/>
  <c r="D23" i="15" s="1"/>
  <c r="D4" i="12" s="1"/>
  <c r="D8" i="12" s="1"/>
  <c r="D13" i="12" s="1"/>
  <c r="F12" i="7"/>
  <c r="F4" i="8" s="1"/>
  <c r="F8" i="8" s="1"/>
  <c r="G11" i="6" s="1"/>
  <c r="F11" i="6" s="1"/>
  <c r="F15" i="6" s="1"/>
  <c r="J4" i="19"/>
  <c r="I12" i="19"/>
  <c r="D14" i="14" l="1"/>
  <c r="F11" i="26"/>
  <c r="F18" i="26" s="1"/>
  <c r="K15" i="6"/>
  <c r="K22" i="6" s="1"/>
  <c r="D37" i="14"/>
  <c r="G15" i="6"/>
  <c r="G22" i="6" s="1"/>
  <c r="D12" i="25"/>
  <c r="D17" i="25" s="1"/>
  <c r="H11" i="19"/>
  <c r="H12" i="19" s="1"/>
  <c r="J5" i="19"/>
  <c r="J6" i="19" s="1"/>
  <c r="X20" i="28"/>
  <c r="X21" i="28" s="1"/>
  <c r="F22" i="6"/>
  <c r="D39" i="14" l="1"/>
  <c r="D42" i="14" s="1"/>
  <c r="U26" i="27"/>
  <c r="R44" i="27" s="1"/>
  <c r="J11" i="19"/>
  <c r="J12" i="19" s="1"/>
</calcChain>
</file>

<file path=xl/sharedStrings.xml><?xml version="1.0" encoding="utf-8"?>
<sst xmlns="http://schemas.openxmlformats.org/spreadsheetml/2006/main" count="852" uniqueCount="550">
  <si>
    <t>ANTECEDENTES</t>
  </si>
  <si>
    <t>I.</t>
  </si>
  <si>
    <t xml:space="preserve">La sociedad  EC  &amp; GET Ltda., que hasta el 31.12.2019 estuvo sujeta al régimen de renta atribuida, a partir del 01.01.2020 se encuentra acogida al régimen Pro PYME establecido en el artículo 14, letra D), N° 3, de la LIR, optando por determinar su renta efectiva según contabilidad simplificada. </t>
  </si>
  <si>
    <t>II.</t>
  </si>
  <si>
    <t>De acuerdo a los registros contables y documentación de respaldo, los propietarios de la sociedad aportaron el capital social conforme al siguiente detalle:</t>
  </si>
  <si>
    <t>Reajustado al 31.12.2019 ($)</t>
  </si>
  <si>
    <t>III.</t>
  </si>
  <si>
    <t>Para el año comercial 2025 la sociedad presenta los siguientes movimientos que forman parte del registro caja:</t>
  </si>
  <si>
    <t>No Percibido ($)</t>
  </si>
  <si>
    <t xml:space="preserve">Ventas netas año 2025 a entidades NO relacionadas </t>
  </si>
  <si>
    <t xml:space="preserve">Ventas netas año 2025 a entidades relacionadas sujetas al régimen Pro PYME (art. 14 letra D) N° 3 LIR) </t>
  </si>
  <si>
    <t>Ventas netas  año 2025 a entidades relacionadas sujetas al régimen de imputación parcial de créditos (art. 14 letra A) LIR)</t>
  </si>
  <si>
    <t>Cobro factura emitida en diciembre de 2024 a entidad no relacionada</t>
  </si>
  <si>
    <t>Ingresos netos por venta computador</t>
  </si>
  <si>
    <t>Crédito otorgado por Banco</t>
  </si>
  <si>
    <t>Régimen empresa fuente</t>
  </si>
  <si>
    <t>Factor</t>
  </si>
  <si>
    <t xml:space="preserve">Dividendo 1, afecto a imptos. finales </t>
  </si>
  <si>
    <t>con crédito por IDPC sujeto a restitución con D° dev.</t>
  </si>
  <si>
    <t>Art. 14 letra A)</t>
  </si>
  <si>
    <t xml:space="preserve">Dividendo 2, afecto a imptos. finales </t>
  </si>
  <si>
    <t>con crédito por IDPC NO sujeto a restitución con D° dev.</t>
  </si>
  <si>
    <t>Art. 14 letra D) N°3</t>
  </si>
  <si>
    <t>Dividendo 3, afecto a imptos. finales</t>
  </si>
  <si>
    <t>con crédito por IDPC acumulado al 31.12.2016 con D° dev.</t>
  </si>
  <si>
    <t>Art. 14 letra D) N° 3</t>
  </si>
  <si>
    <t xml:space="preserve">Dividendo 4, afecto a imptos. finales </t>
  </si>
  <si>
    <t>sin crédito</t>
  </si>
  <si>
    <t>Dividendo 5, Ingreso No Constitutivo de Renta</t>
  </si>
  <si>
    <t>Compras netas existencias 2025</t>
  </si>
  <si>
    <t>Gastos generales</t>
  </si>
  <si>
    <t>Arriendos</t>
  </si>
  <si>
    <t>Pago proveedores 2024</t>
  </si>
  <si>
    <t xml:space="preserve">Amortización ejercicio crédito otorgado por Banco </t>
  </si>
  <si>
    <t>Capital $</t>
  </si>
  <si>
    <t>Interés por préstamo</t>
  </si>
  <si>
    <t>Pago intereses y multas fiscales</t>
  </si>
  <si>
    <t>Pago IDPC AT 2025</t>
  </si>
  <si>
    <t>PPM pagados</t>
  </si>
  <si>
    <t>IV.</t>
  </si>
  <si>
    <t>V.</t>
  </si>
  <si>
    <t>i)</t>
  </si>
  <si>
    <t>Anual</t>
  </si>
  <si>
    <t xml:space="preserve">ii) </t>
  </si>
  <si>
    <t>Valor UF al 31.12.2025</t>
  </si>
  <si>
    <t xml:space="preserve">Tasa IDPC </t>
  </si>
  <si>
    <t xml:space="preserve">Factor IDPC </t>
  </si>
  <si>
    <t xml:space="preserve">iii) </t>
  </si>
  <si>
    <t>Retiros actualizados al 31.12.2025:</t>
  </si>
  <si>
    <t>Socio Sr. Ortiz</t>
  </si>
  <si>
    <t>20.10.2025</t>
  </si>
  <si>
    <t xml:space="preserve">Socio Sr. Escudero </t>
  </si>
  <si>
    <t>20.11.2025</t>
  </si>
  <si>
    <t>PPM actualizado al 31.12.2025:</t>
  </si>
  <si>
    <t xml:space="preserve"> Octubre 2025</t>
  </si>
  <si>
    <t xml:space="preserve"> Noviembre 2025</t>
  </si>
  <si>
    <t>VI.</t>
  </si>
  <si>
    <t>RAI</t>
  </si>
  <si>
    <t>REX</t>
  </si>
  <si>
    <t>SAC</t>
  </si>
  <si>
    <t xml:space="preserve">RAP </t>
  </si>
  <si>
    <t>Acumulado a contar del 01.01.2017</t>
  </si>
  <si>
    <t>Acumulado hasta el 31.12.2016</t>
  </si>
  <si>
    <t>STUT</t>
  </si>
  <si>
    <t>Crédito por IDPC</t>
  </si>
  <si>
    <t>Crédito IPE</t>
  </si>
  <si>
    <t>No sujeto
Restitución</t>
  </si>
  <si>
    <t>Sujeto a Restitución</t>
  </si>
  <si>
    <t>Con
devolución</t>
  </si>
  <si>
    <t>Sin
devolución</t>
  </si>
  <si>
    <t>Remanente ejercicio anterior histórico</t>
  </si>
  <si>
    <t>ANTECEDENTES DE LA RENTA DE FUENTE EXTRANJERA</t>
  </si>
  <si>
    <t>Artículo 14 letra D) N°3 LIR</t>
  </si>
  <si>
    <t>DETERMINACIÓN CRÉDITO POR IMPUESTOS SOPORTADOS EN EL EXTERIOR (IPE)</t>
  </si>
  <si>
    <t>x 35%</t>
  </si>
  <si>
    <t>($)</t>
  </si>
  <si>
    <t>+</t>
  </si>
  <si>
    <t>Ventas netas año 2025 a entidades relacionadas sujetas al régimen de imputación parcial de créditos (art. 14 letra A))</t>
  </si>
  <si>
    <t>Ingresos devengados en 2024 y percibidos en 2025</t>
  </si>
  <si>
    <t>=</t>
  </si>
  <si>
    <t>CTD determinado</t>
  </si>
  <si>
    <t>Reajuste PPM Pagados</t>
  </si>
  <si>
    <t>-</t>
  </si>
  <si>
    <t>Gastos adeudados en 2024 y pagados en 2025</t>
  </si>
  <si>
    <t xml:space="preserve">  </t>
  </si>
  <si>
    <t>IDPC, tasa</t>
  </si>
  <si>
    <t>Determinación incentivo al ahorro (art.14 letra E) LIR)</t>
  </si>
  <si>
    <t>Monto $</t>
  </si>
  <si>
    <t>Determinación capital propio tributario simplificado al 31.12.2025</t>
  </si>
  <si>
    <t xml:space="preserve">(-) Reverso RAI </t>
  </si>
  <si>
    <t>(+) RAI del ejercicio</t>
  </si>
  <si>
    <t>(+) Crédito por IDPC sobre RLI</t>
  </si>
  <si>
    <t>(+) Crédito por IDPC sobre dividendo percibido</t>
  </si>
  <si>
    <t>Crédito máximo</t>
  </si>
  <si>
    <t>(-) Crédito IDPC  por gastos rechazados</t>
  </si>
  <si>
    <t>RECUADRO N° 17: BASE IMPONIBLE RÉGIMEN PRO PYME (ART. 14 LETRA D) N° 3 LIR)</t>
  </si>
  <si>
    <t>PERCIBIDO O PAGADO</t>
  </si>
  <si>
    <t xml:space="preserve">Ingresos del giro percibidos </t>
  </si>
  <si>
    <t>Ingresos del giro devengados en ejercicios anteriores y percibidos en el ejercicio actual</t>
    <phoneticPr fontId="17" type="noConversion"/>
  </si>
  <si>
    <t>Rentas de fuente extranjera percibidas</t>
  </si>
  <si>
    <t>Intereses y reajustes percibidos por préstamos y otros</t>
  </si>
  <si>
    <t>Mayor valor percibido por rescate o enajenación de inversiones o bienes no depreciables</t>
  </si>
  <si>
    <t>Ingresos percibidos o devengados por operaciones con empresas relacionadas del art. 14 letra A) LIR</t>
  </si>
  <si>
    <t>Otros ingresos percibidos o devengados</t>
  </si>
  <si>
    <t>Ingreso diferido imputado en el ejercicio, debidamente incrementado y reajustado cuando corresponda</t>
  </si>
  <si>
    <t>Crédito sobre activos fijos adquiridos en el ejercicio (art. 33 bis LIR)</t>
  </si>
  <si>
    <t>Total de ingresos anuales</t>
  </si>
  <si>
    <t>Gasto por saldo inicial de existencias o insumos del negocio en cambio de régimen, pagados</t>
  </si>
  <si>
    <t>Gasto por saldo inicial de activos fijos depreciables en cambio de régimen, pagados</t>
  </si>
  <si>
    <t>Gasto por pérdida tributaria en cambio de régimen</t>
  </si>
  <si>
    <t>Existencias, insumos y servicios del negocio, pagados</t>
  </si>
  <si>
    <t>Existencias, insumos y servicios del negocio adeudados en ejercicios anteriores y pagados en el ejercicio actual</t>
    <phoneticPr fontId="17" type="noConversion"/>
  </si>
  <si>
    <t>Gastos de rentas de fuente extranjera, pagados</t>
  </si>
  <si>
    <t>Remuneraciones pagadas</t>
  </si>
  <si>
    <t>Honorarios pagados</t>
  </si>
  <si>
    <t>Adquisición de bienes del activo fijo, pagados</t>
  </si>
  <si>
    <t>Arriendos pagados</t>
  </si>
  <si>
    <t>Gastos por exigencias medio ambientales, pagados</t>
  </si>
  <si>
    <t>Gastos por inversión privada en investigación y desarrollo no certificados por CORFO</t>
  </si>
  <si>
    <t>Gastos por inversión privada en investigación y desarrollo certificados por CORFO</t>
  </si>
  <si>
    <t>Intereses y reajustes pagados por préstamos y otros</t>
  </si>
  <si>
    <t>Partidas del art. 21 inc. 1° y 3° LIR pagados</t>
  </si>
  <si>
    <t>Partidas del art. 21 inc. 1° no afectados con IU 40% y del inc. 2° LIR pagados</t>
  </si>
  <si>
    <t>Pérdida en rescate o enajenación de inversiones o bienes no depreciables</t>
  </si>
  <si>
    <t>Otros gastos deducibles de los ingresos</t>
  </si>
  <si>
    <t>Gastos o egresos pagados o adeudados por operaciones con empresas relacionadas del art. 14 letra A) LIR</t>
  </si>
  <si>
    <t>Pérdidas tributarias de ejercicios anteriores</t>
  </si>
  <si>
    <t>Créditos incobrables castigados en el ejercicio (reconocidos sobre ingresos devengados)</t>
  </si>
  <si>
    <t>Gastos aceptados por donaciones</t>
  </si>
  <si>
    <t>Total de egresos anuales</t>
  </si>
  <si>
    <t>Partidas del inc. 1° no afectas al IU de tasa 40% y del inc. 2° del art. 21 LIR (históricos), incluidos en el total de egresos</t>
  </si>
  <si>
    <t>Base imponible antes de rebaja por incentivo al ahorro (art. 14 letra E) LIR) y/o por pago de IDPC voluntario (art. 14 letra A) N°6 LIR y art. 42° transitorio Ley N° 21.210) o pérdida tributaria</t>
  </si>
  <si>
    <t>Incentivo al ahorro según art. 14 letra E) LIR</t>
  </si>
  <si>
    <t>Base del IDPC voluntario según  art. 14 letra A) N°  6 LIR y art. 42° transitorio Ley N° 21.210</t>
  </si>
  <si>
    <t>Base Imponible afecta a IDPC o pérdida tributaria del ejercicio</t>
  </si>
  <si>
    <t>RECUADRO Nº 18 DETERMINACIÓN DEL RAI (ART. 14 LETRA D) N° 3 LIR)</t>
  </si>
  <si>
    <t>CPTS positivo final (recuadro N° 19)</t>
  </si>
  <si>
    <t>CPTS negativo final (recuadro N° 19)</t>
  </si>
  <si>
    <t>Saldo negativo del registro REX al término del ejercicio</t>
  </si>
  <si>
    <t>Remesas, retiros o dividendos repartidos en el ejercicio, históricos</t>
    <phoneticPr fontId="17" type="noConversion"/>
  </si>
  <si>
    <t>Subtotal</t>
  </si>
  <si>
    <t>Saldo positivo del registro REX al término del ejercicio, antes de imputaciones</t>
  </si>
  <si>
    <t>Capital aportado, histórico (incluye aumentos y disminuciones efectivas)</t>
  </si>
  <si>
    <t>Saldo FUR (cuando no haya sido considerado dentro del valor del capital aportado a la empresa)</t>
  </si>
  <si>
    <t>Sobreprecio obtenido en la colocación de acciones de propia emisión, histórico</t>
  </si>
  <si>
    <t xml:space="preserve">Rentas afectas a IGC o IA (RAI) del ejercicio </t>
  </si>
  <si>
    <t>RECUADRO N° 19: CPTS RÉGIMEN PRO PYME (ART. 14 LETRA D) N° 3 LIR)</t>
  </si>
  <si>
    <t>CPT o CPTS positivo inicial</t>
    <phoneticPr fontId="17" type="noConversion"/>
  </si>
  <si>
    <t>CPT o CPTS negativo inicial</t>
    <phoneticPr fontId="17" type="noConversion"/>
  </si>
  <si>
    <t>Capital aportado empresas que inician actividades en el año comercial que corresponda a esta declaración</t>
    <phoneticPr fontId="17" type="noConversion"/>
  </si>
  <si>
    <t>Aumentos (efectivos) de capital del ejercicio</t>
  </si>
  <si>
    <t>Disminuciones (efectivas) de capital del ejercicio</t>
  </si>
  <si>
    <t>Base imponible afecta a IDPC del ejercicio</t>
  </si>
  <si>
    <t xml:space="preserve">Pérdida tributaria del ejercicio al 31 de diciembre </t>
  </si>
  <si>
    <t>Rentas exentas e ingresos no renta (positivo), generados por la empresa en el ejercicio</t>
  </si>
  <si>
    <t>Pérdida por rentas exentas e ingresos no renta del ejercicio</t>
  </si>
  <si>
    <t>Retiros o dividendos percibidos en el ejercicio por participaciones en otras empresas</t>
  </si>
  <si>
    <t>Remesas, retiros o dividendos repartidos en el ejercicio</t>
  </si>
  <si>
    <t>Partidas del inc. 1° no afectas al IU de tasa 40% y del inc. 2° del art. 21 LIR</t>
  </si>
  <si>
    <t>Crédito total disponible imputable contra impuestos finales (IPE), del ejercicio</t>
  </si>
  <si>
    <t>Base del IDPC voluntario según art. 14 letra A) N° 6 LIR</t>
  </si>
  <si>
    <t>Otras partidas a agregar</t>
  </si>
  <si>
    <t>Otras partidas a deducir</t>
  </si>
  <si>
    <t>CPTS positivo final</t>
  </si>
  <si>
    <t>CPTS negativo final</t>
  </si>
  <si>
    <t>RECUADRO N° 20: REGISTRO TRIBUTARIO DE RENTAS EMPRESARIALES Y MOVIMIENTO STUT (ART. 14 LETRA D) N° 3 LIR)</t>
  </si>
  <si>
    <t>RENTAS CON TRIBUTACIÓN CUMPLIDA</t>
  </si>
  <si>
    <t>RENTAS EXENTAS</t>
  </si>
  <si>
    <t>INR</t>
  </si>
  <si>
    <t>RAP Y DIFERENCIA INICIAL EX ART. 14 TER A) LIR</t>
  </si>
  <si>
    <t>ISFUT / ISIF</t>
  </si>
  <si>
    <t>OTRAS</t>
  </si>
  <si>
    <t>Remanente ejercicio anterior o saldo inicial (saldo positivo)</t>
  </si>
  <si>
    <t xml:space="preserve">Remanente ejercicio anterior o saldo inicial (saldo negativo) </t>
  </si>
  <si>
    <t>Monto acogido al ISIF, según arts. 10 y 11 Ley N° 21.681</t>
  </si>
  <si>
    <t>+/-</t>
  </si>
  <si>
    <t>Aumentos del ejercicio (por reorganizaciones)</t>
  </si>
  <si>
    <t>Disminuciones del ejercicio (por reorganizaciones)</t>
  </si>
  <si>
    <t>Reversos y/o disminuciones del ejercicio (propios)</t>
  </si>
  <si>
    <t>Aumentos del ejercicio (propios)</t>
  </si>
  <si>
    <t>Otros aumentos del ejercicio</t>
  </si>
  <si>
    <t>Otras disminuciones del ejercicio</t>
  </si>
  <si>
    <t>Retiros, dividendos o remesas imputados a los RTRE</t>
  </si>
  <si>
    <t>Retiros en exceso y devoluciones de capital imputados en el ejercicio</t>
  </si>
  <si>
    <t>Remanente ejercicio siguiente (saldo positivo)</t>
  </si>
  <si>
    <t>Remanente ejercicio siguiente (saldo negativo)</t>
  </si>
  <si>
    <t>RECUADRO N° 21: REGISTRO SAC (ART. 14 LETRA D) N° 3 LIR)</t>
  </si>
  <si>
    <t>Acumulados a contar desde el 01.01.2017</t>
  </si>
  <si>
    <t>Acumulados hasta el 31.12.2016</t>
  </si>
  <si>
    <t>No Sujeto a Restitución</t>
  </si>
  <si>
    <t>IPE</t>
  </si>
  <si>
    <t>Sin D° Devolución</t>
  </si>
  <si>
    <t>Con D° Devolución</t>
  </si>
  <si>
    <t>Monto imputado al ISIF arts. 10 y 11 Ley N° 21.681</t>
  </si>
  <si>
    <t>IDPC e IPE base imponible generada en el ejercicio</t>
  </si>
  <si>
    <t>IDPC e IPE retiros o dividendos percibidos</t>
  </si>
  <si>
    <t>Asignado a remesas, retiros o dividendos efectuados en el ejercicio</t>
  </si>
  <si>
    <t>Asignado a retiros en exceso y devoluciones de capital  efectuados en el ejercicio</t>
  </si>
  <si>
    <t>IDPC e IPE asignado a gastos rechazados del art. 21 inc. 1° no afectos a IU 40% y del inc. 2° LIR</t>
  </si>
  <si>
    <t xml:space="preserve">Remanente ejercicio siguiente (saldo negativo) </t>
  </si>
  <si>
    <t>Con crédito por IDPC generados a contar del 01.01.2017</t>
  </si>
  <si>
    <t>No Sujeto a Restitución Sin D° Devolución</t>
  </si>
  <si>
    <t>No Sujeto a Restitución Con D° Devolución</t>
  </si>
  <si>
    <t>Declaración Jurada anual sobre retiros, remesas y/o dividendos distribuidos,  o cantidades distribuidas a cualquier título  y créditos correspondientes, efectuados por contribuyentes sujetos al régimen de la letra A) y al número 3 de la letra D) del artículo 14 de la LIR,  y sobre saldo de retiros en exceso pendientes de imputación.</t>
  </si>
  <si>
    <t>F1948</t>
  </si>
  <si>
    <t>Sección A: IDENTIFICACIÓN DEL DECLARANTE</t>
  </si>
  <si>
    <t>FOLIO</t>
  </si>
  <si>
    <t>ROL ÚNICO TRIBUTARIO</t>
  </si>
  <si>
    <t>APELLIDO PATERNO O RAZÓN SOCIAL</t>
  </si>
  <si>
    <t>20-5</t>
  </si>
  <si>
    <t xml:space="preserve">La sociedad  EC  &amp; GET Ltda. </t>
  </si>
  <si>
    <t>APELLIDO MATERNO</t>
  </si>
  <si>
    <t>NOMBRES</t>
  </si>
  <si>
    <t xml:space="preserve">CORREO ELECTRÓNICO </t>
  </si>
  <si>
    <t>PERIODO</t>
  </si>
  <si>
    <t xml:space="preserve">Sección B: </t>
  </si>
  <si>
    <t>ANTECEDENTES DE LOS INFORMADOS (Receptor de los retiros, remesas o dividendos. Persona natural o jurídica)</t>
  </si>
  <si>
    <t>Fecha del retiro, remesa y/o dividendo distribuido</t>
  </si>
  <si>
    <t>RUT del Pleno Propietario  o Usufructuario  receptor del retiro, remesa y/o dividendo distribuido</t>
  </si>
  <si>
    <t>Usfructuario beneficiario del retiro, remesa y/o dividendo distribuido</t>
  </si>
  <si>
    <t>Cantidad de acciones al 31/12</t>
  </si>
  <si>
    <t>MONTOS DE RETIROS, REMESAS O DIVIDENDOS REAJUSTADOS ($)</t>
  </si>
  <si>
    <t>CRÉDITOS PARA IMPUESTO GLOBAL COMPLEMENTARIO O ADICIONAL</t>
  </si>
  <si>
    <t>Devolución de capital Art.17 N° 7 LIR.</t>
  </si>
  <si>
    <t>Número de Certificado</t>
  </si>
  <si>
    <t>Afectos a los Impuestos Global Complementario y/o Impuesto Adicional</t>
  </si>
  <si>
    <t>Rentas Exentas e Ingresos No Constitutivos de Renta (REX)</t>
  </si>
  <si>
    <t>Acumulados a Contar del 01.01.2017</t>
  </si>
  <si>
    <t>Acumulados Hasta el 31.12.2016</t>
  </si>
  <si>
    <t>Crédito por impuesto tasa adicional, Ex. Art. 21  LIR.</t>
  </si>
  <si>
    <t>Rentas Con Tributación Cumplida</t>
  </si>
  <si>
    <t xml:space="preserve">Rentas Exentas </t>
  </si>
  <si>
    <t>Ingresos No Constitutivos de  Renta</t>
  </si>
  <si>
    <t>Asociados a Rentas Afectas</t>
  </si>
  <si>
    <t>Asociados a Rentas Exentas</t>
  </si>
  <si>
    <t xml:space="preserve">Crédito por IPE </t>
  </si>
  <si>
    <t>Asociados a Rentas Exentas (artículo 11, Ley 18.401)</t>
  </si>
  <si>
    <t>Rentas provenientes del registro RAP y Diferencia Inicial de sociedad acogida al ex Art. 14 TER A) LIR</t>
  </si>
  <si>
    <t>Otras rentas percibidas Sin Prioridad en su orden de imputación</t>
  </si>
  <si>
    <t>Exceso Distribuciones Desproporcionadas 
(N°9 Art.14 A)</t>
  </si>
  <si>
    <t>Utilidades afectadas con impuesto sustitutivo al FUT (ISFUT) Ley N°20.780</t>
  </si>
  <si>
    <t>Rentas generadas hasta el 31.12.1983 y/o utilidades afectadas con impuesto sustitutivo al FUT (ISFUT) Ley N°21.210 y/o con impuesto sustitutivo de impuestos finales (ISIF) Ley N° 21.681</t>
  </si>
  <si>
    <t>Rentas Exentas de Impuesto Global Complementario (IGC) (Artículo 11, Ley 18.401), Afectas a Impuesto Adicional</t>
  </si>
  <si>
    <t>Rentas Exentas de Impuesto Global Complementario (IGC) y/o Impuesto Adicional (IA)</t>
  </si>
  <si>
    <t>No Sujetos a Restitución generados Hasta el 31.12.2019</t>
  </si>
  <si>
    <t>No Sujetos a Restitución generados a contar del 01.01.2020</t>
  </si>
  <si>
    <t>Sujetos a Restitución</t>
  </si>
  <si>
    <t>Sin derecho a devolución</t>
  </si>
  <si>
    <t>Con derecho a devolución</t>
  </si>
  <si>
    <t>GERARDO ARTURO ESCUDERO TOLEDO</t>
  </si>
  <si>
    <t>Con crédito por IDPC acumulados  hasta el 31.12.2016</t>
  </si>
  <si>
    <t>Con  derecho a crédito por pago de IDPC voluntario</t>
  </si>
  <si>
    <t>Sin derecho a crédito</t>
  </si>
  <si>
    <t>C1</t>
  </si>
  <si>
    <t>C2</t>
  </si>
  <si>
    <t>C3</t>
  </si>
  <si>
    <t>C4</t>
  </si>
  <si>
    <t>C5</t>
  </si>
  <si>
    <t>C6</t>
  </si>
  <si>
    <t>C7</t>
  </si>
  <si>
    <t>C8</t>
  </si>
  <si>
    <t>C9</t>
  </si>
  <si>
    <t>C10</t>
  </si>
  <si>
    <t>C11</t>
  </si>
  <si>
    <t>C12</t>
  </si>
  <si>
    <t>C13</t>
  </si>
  <si>
    <t>C14</t>
  </si>
  <si>
    <t>C15</t>
  </si>
  <si>
    <t>C16</t>
  </si>
  <si>
    <t>C17</t>
  </si>
  <si>
    <t>C18</t>
  </si>
  <si>
    <t>C19</t>
  </si>
  <si>
    <t>C20</t>
  </si>
  <si>
    <t>C21</t>
  </si>
  <si>
    <t>C22</t>
  </si>
  <si>
    <t>C23</t>
  </si>
  <si>
    <t>C24</t>
  </si>
  <si>
    <t>C25</t>
  </si>
  <si>
    <t>C26</t>
  </si>
  <si>
    <t>C27</t>
  </si>
  <si>
    <t>C28</t>
  </si>
  <si>
    <t>C29</t>
  </si>
  <si>
    <t>C30</t>
  </si>
  <si>
    <t>C31</t>
  </si>
  <si>
    <t>C32</t>
  </si>
  <si>
    <t>C33</t>
  </si>
  <si>
    <t>18.000.000-0</t>
  </si>
  <si>
    <t>17.500.000-0</t>
  </si>
  <si>
    <t xml:space="preserve">Sección C: </t>
  </si>
  <si>
    <t>ANTECEDENTES DE RETIROS EN EXCESO (Detalle de saldos pendientes de imputación)</t>
  </si>
  <si>
    <t>RUT del beneficiario del retiro (titular o cesionario)</t>
  </si>
  <si>
    <t xml:space="preserve">Montos de retiros en exceso, reajustados ($)
</t>
  </si>
  <si>
    <t>C34</t>
  </si>
  <si>
    <t>C35</t>
  </si>
  <si>
    <t>CUADRO RESUMEN FINAL DE LA DECLARACION</t>
  </si>
  <si>
    <t xml:space="preserve">Total de casos Informados </t>
  </si>
  <si>
    <t>Rentas Exentas e Ingresos No Contitutivos de Renta (REX)</t>
  </si>
  <si>
    <t>Exentos de impuesto global complementario (IGC) y/o impuesto adicional (IA)</t>
  </si>
  <si>
    <r>
      <t>Asociados a Rentas Exentas</t>
    </r>
    <r>
      <rPr>
        <b/>
        <sz val="11"/>
        <rFont val="Calibri"/>
        <family val="2"/>
      </rPr>
      <t xml:space="preserve"> </t>
    </r>
    <r>
      <rPr>
        <sz val="11"/>
        <rFont val="Calibri"/>
        <family val="2"/>
      </rPr>
      <t>(artículo 11, Ley 18.401)</t>
    </r>
  </si>
  <si>
    <t>C36</t>
  </si>
  <si>
    <t>C37</t>
  </si>
  <si>
    <t>C38</t>
  </si>
  <si>
    <t>C39</t>
  </si>
  <si>
    <t>C40</t>
  </si>
  <si>
    <t>C41</t>
  </si>
  <si>
    <t>C42</t>
  </si>
  <si>
    <t>C43</t>
  </si>
  <si>
    <t>C44</t>
  </si>
  <si>
    <t>C45</t>
  </si>
  <si>
    <t>C46</t>
  </si>
  <si>
    <t>C47</t>
  </si>
  <si>
    <t>C48</t>
  </si>
  <si>
    <t>C49</t>
  </si>
  <si>
    <t>C50</t>
  </si>
  <si>
    <t>C51</t>
  </si>
  <si>
    <t>C52</t>
  </si>
  <si>
    <t>C53</t>
  </si>
  <si>
    <t>C54</t>
  </si>
  <si>
    <t>C55</t>
  </si>
  <si>
    <t>C56</t>
  </si>
  <si>
    <t>C57</t>
  </si>
  <si>
    <t>C58</t>
  </si>
  <si>
    <t>C59</t>
  </si>
  <si>
    <t>C60</t>
  </si>
  <si>
    <t>C61</t>
  </si>
  <si>
    <t>C62</t>
  </si>
  <si>
    <t>C63</t>
  </si>
  <si>
    <t>C64</t>
  </si>
  <si>
    <t>C65</t>
  </si>
  <si>
    <t>C66</t>
  </si>
  <si>
    <t>DECLARO BAJO JURAMENTO QUE LOS DATOS CONTENIDOS EN EL PRESENTE DOCUMENTO SON LA EXPRESION FIEL DE LA VERDAD, POR LO QUE ASUMO LA RESPONSABILIDAD CORRESPONDIENTE</t>
  </si>
  <si>
    <t>RUT REPRESENTANTE LEGAL</t>
  </si>
  <si>
    <t xml:space="preserve"> RUT DEL RESPONSABLE DE LA CONFECCIÓN DEL REGISTRO</t>
  </si>
  <si>
    <t>Nombre o Razon Social</t>
  </si>
  <si>
    <t xml:space="preserve"> </t>
  </si>
  <si>
    <t>RUT N°</t>
  </si>
  <si>
    <t>CERTIFICADO N°:</t>
  </si>
  <si>
    <t>Dirección</t>
  </si>
  <si>
    <t>Teatinos 120</t>
  </si>
  <si>
    <t>Ciudad y Fecha:</t>
  </si>
  <si>
    <t xml:space="preserve">Giro o Actividad </t>
  </si>
  <si>
    <t>Servicios</t>
  </si>
  <si>
    <t>CERTIFICADO N° 70</t>
  </si>
  <si>
    <t xml:space="preserve">SOBRE SITUACION TRIBUTARIA DE RETIROS, REMESAS Y/O DIVIDENDOS DISTRIBUIDOS Y CRÉDITOS CORRESPONDIENTES EFECTUADOS POR CONTRIBUYENTES SUJETOS AL RÉGIMEN DE LA LETRA A) O AL RÉGIMEN DEL NUMERO 3 DE LA LETRA D) DEL ARTÍCULO 14 DE LA LIR.  </t>
  </si>
  <si>
    <r>
      <t xml:space="preserve">Se certifica que al titular o usufructuario (según corresponda) </t>
    </r>
    <r>
      <rPr>
        <b/>
        <u/>
        <sz val="11"/>
        <color theme="1"/>
        <rFont val="Calibri"/>
        <family val="2"/>
        <scheme val="minor"/>
      </rPr>
      <t>Socio Sr. Ortiz</t>
    </r>
    <r>
      <rPr>
        <sz val="11"/>
        <color theme="1"/>
        <rFont val="Calibri"/>
        <family val="2"/>
        <scheme val="minor"/>
      </rPr>
      <t xml:space="preserve"> (Nombre o razón social del propietario, comunero, socio, accionista, o usufructuario según corresponda), RUT N° </t>
    </r>
    <r>
      <rPr>
        <b/>
        <u/>
        <sz val="11"/>
        <color theme="1"/>
        <rFont val="Calibri"/>
        <family val="2"/>
        <scheme val="minor"/>
      </rPr>
      <t>18.000.000-0</t>
    </r>
    <r>
      <rPr>
        <sz val="11"/>
        <color theme="1"/>
        <rFont val="Calibri"/>
        <family val="2"/>
        <scheme val="minor"/>
      </rPr>
      <t xml:space="preserve">, por el año comercial  </t>
    </r>
    <r>
      <rPr>
        <b/>
        <u/>
        <sz val="11"/>
        <color theme="1"/>
        <rFont val="Calibri"/>
        <family val="2"/>
        <scheme val="minor"/>
      </rPr>
      <t>2025</t>
    </r>
    <r>
      <rPr>
        <sz val="11"/>
        <color theme="1"/>
        <rFont val="Calibri"/>
        <family val="2"/>
        <scheme val="minor"/>
      </rPr>
      <t xml:space="preserve">, le corresponden los retiros, remesas y/o dividendos y créditos que más adelante se indican, los cuales para los efectos de su declaración en los impuestos anuales a la renta que le afectan por el Año Tributario </t>
    </r>
    <r>
      <rPr>
        <b/>
        <u/>
        <sz val="11"/>
        <color theme="1"/>
        <rFont val="Calibri"/>
        <family val="2"/>
        <scheme val="minor"/>
      </rPr>
      <t>2026</t>
    </r>
    <r>
      <rPr>
        <sz val="11"/>
        <color theme="1"/>
        <rFont val="Calibri"/>
        <family val="2"/>
        <scheme val="minor"/>
      </rPr>
      <t xml:space="preserve">, presentan la siguiente situación tributaria: 
</t>
    </r>
  </si>
  <si>
    <t xml:space="preserve">FECHA DEL 
RETIRO, 
REMESA Y/O 
DIVIDENDOS 
DISTRIBUIDOS
</t>
  </si>
  <si>
    <t>DIVIDENDO N°</t>
  </si>
  <si>
    <t>RUT DEL PLENO PROPIETARIO  O USUFRUCTUARIO  RECEPTOR DEL RETIRO, REMESA Y/O DIVIDENDO DISTRIBUIDO</t>
  </si>
  <si>
    <t>USUFRUCTUARIO O NUDO PROPIETARIO DE LA ACCIÓN O DERECHO SOCIAL</t>
  </si>
  <si>
    <t>MONTO HISTÓRICO</t>
  </si>
  <si>
    <t>FACTOR ACTUALIZACIÓN</t>
  </si>
  <si>
    <t>MONTOS DE DIVIDENDOS REAJUSTADOS ($)</t>
  </si>
  <si>
    <t>TASA EFECTIVA DEL CRÉDITO DEL FUT (TEF)</t>
  </si>
  <si>
    <t>TASA EFECTIVA DEL CRÉDITO DEL FUNT (TEX)</t>
  </si>
  <si>
    <t>DEVOLUCION DE CAPITAL ART.17 N° 7 LIR.</t>
  </si>
  <si>
    <t>MONTO ACTUALIZADO</t>
  </si>
  <si>
    <t>MONTO AFECTO A IMPUESTO  GLOBAL COMPLEMENTARIO Y/O  IMPUESTO ADICIONAL</t>
  </si>
  <si>
    <t>RENTAS EXENTAS E INGRESOS NO CONSTITUTIVOS DE RENTA (REX)</t>
  </si>
  <si>
    <t>ACUMULADOS A CONTAR DEL  01.01.2017</t>
  </si>
  <si>
    <t>ACUMULADOS HASTA EL 31.12.2016</t>
  </si>
  <si>
    <t>CRÉDITO POR IMPUESTO TASA ADICIONAL, EX ART. 21 LIR.</t>
  </si>
  <si>
    <t xml:space="preserve">RENTAS EXENTAS   </t>
  </si>
  <si>
    <t>INGRESOS NO CONSTITUTIVOS DE RENTA</t>
  </si>
  <si>
    <t>ASOCIADOS A RENTAS AFECTAS</t>
  </si>
  <si>
    <t>ASOCIADOS A RENTAS EXENTAS 
(artículo 11, Ley 18.401)</t>
  </si>
  <si>
    <t>CRÉDITO POR IPE</t>
  </si>
  <si>
    <t>RENTAS PROVENIENTES DEL REGISTRO RAP Y DIFERENCIA INICIAL DE SOCIEDAD ACOGIDA AL EX ART. 14 TER A) LIR</t>
  </si>
  <si>
    <t>OTRAS RENTAS PERCIBIDAS SIN PRIORIDAD EN SU ORDEN DE IMPUTACIÓN</t>
  </si>
  <si>
    <t>EXCESO DISTRIBUCIONES DESPROPORCIONADAS 
(N°9 ART.14 A)</t>
  </si>
  <si>
    <t>UTILIDADES AFECTADAS CON IMPUESTO SUSTITUTIVO AL FUT (ISFUT) LEY N°20.780</t>
  </si>
  <si>
    <t>RENTAS GENERADAS HASTA EL 31.12.1983 Y/O UTILIDADES AFECTADAS CON IMPUESTO SUSTITUTIVO AL FUT (ISFUT) LEY N°21.210  Y/O CON IMPUESTO SUSTITUTIVO DE IMPUESTOS FINALES (ISIF) LEY N° 21.681</t>
  </si>
  <si>
    <t>RENTAS EXENTAS DE IMPUESTO GLOBAL COMPLEMENTARIO (IGC) (ARTÍCULO 11, LEY 18.401), AFECTAS A IMPUESTO ADICIONAL</t>
  </si>
  <si>
    <t>RENTAS EXENTAS DE IMPUESTO GLOBAL COMPLEMENTARIO (IGC) Y/O IMPUESTO ADICIONAL (IA)</t>
  </si>
  <si>
    <t xml:space="preserve">NO SUJETOS A RESTITUCIÓN GENERADOS HASTA EL 31.12.2019 </t>
  </si>
  <si>
    <t xml:space="preserve">NO SUJETOS A RESTITUCIÓN GENERADOS A CONTAR DEL 01.01.2020 </t>
  </si>
  <si>
    <t>SUJETOS A RESTITUCIÓN</t>
  </si>
  <si>
    <t>SIN DERECHO A DEVOLUCIÓN</t>
  </si>
  <si>
    <t>CON DERECHO A DEVOLUCIÓN</t>
  </si>
  <si>
    <t>CON CRÉDITO POR IDPC GENERADOS A CONTAR DEL 01.01.2017</t>
  </si>
  <si>
    <t>CON CRÉDITO POR IDPC  ACUMULADOS  HASTA EL 31.12.2016</t>
  </si>
  <si>
    <t>CON DERECHO A CRÉDITO POR PAGO DE IDPC VOLUNTARIO</t>
  </si>
  <si>
    <t>SIN DERECHO A CRÉDITO</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</si>
  <si>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</si>
  <si>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</si>
  <si>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</si>
  <si>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</si>
  <si>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</si>
  <si>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</si>
  <si>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</si>
  <si>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</si>
  <si>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</si>
  <si>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</si>
  <si>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</si>
  <si>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</si>
  <si>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</si>
  <si>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</si>
  <si>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</si>
  <si>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</si>
  <si>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</si>
  <si>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</si>
  <si>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</si>
  <si>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</si>
  <si>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</si>
  <si>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</si>
  <si>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</si>
  <si>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</si>
  <si>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</si>
  <si>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</si>
  <si>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</si>
  <si>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</si>
  <si>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</si>
  <si>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</si>
  <si>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</si>
  <si>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</si>
  <si>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</si>
  <si>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</si>
  <si>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</si>
  <si>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</si>
  <si>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</si>
  <si>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TOTALES</t>
  </si>
  <si>
    <t>$</t>
  </si>
  <si>
    <t xml:space="preserve">
Se extiende el presente certificado en cumplimiento de lo dispuesto en la Resolución Ex. N°98 de 2020 del Servicio de Impuestos Internos y sus modificaciones posteriores.
</t>
  </si>
  <si>
    <t>Declaro bajo juramento que los datos contenidos en el presente documento son la expresión fiel de la verdad, por lo que asumo la reponsabilidad correspondiente</t>
  </si>
  <si>
    <t>Nombre, N° RUT y Firma del Representante Legal</t>
  </si>
  <si>
    <t>Socio 1: Sr. Ortiz  contribuyente del IGC, RUT 18.000.000-0</t>
  </si>
  <si>
    <t>Socio 2: Sr. Escudero contribuyente del IGC, RUT 17.500.000-0</t>
  </si>
  <si>
    <t>Total capital social aportado</t>
  </si>
  <si>
    <t>Ingresos del Giro</t>
  </si>
  <si>
    <t>Total ingresos del giro</t>
  </si>
  <si>
    <t>Histórico         ($)</t>
  </si>
  <si>
    <t>Participación      %</t>
  </si>
  <si>
    <t>Percibido     ($)</t>
  </si>
  <si>
    <t>Otros Ingresos</t>
  </si>
  <si>
    <t>Total otros ingresos del ejercicio</t>
  </si>
  <si>
    <t>Dividendos Percibidos</t>
  </si>
  <si>
    <t>Percibido 
($)</t>
  </si>
  <si>
    <t>Dividendo de fuente extranjera percibido con fecha 10.07.2025, en Dólar EE.UU , liquidado al tipo de cambio oficial de esa misma fecha</t>
  </si>
  <si>
    <t>Total dividendos percibidos</t>
  </si>
  <si>
    <t>Detalle</t>
  </si>
  <si>
    <t>Control</t>
  </si>
  <si>
    <t>Crédito IDPC
 ($)</t>
  </si>
  <si>
    <t>Renta de Fuente Extranjera Percibidas</t>
  </si>
  <si>
    <t>Percibido (USD)</t>
  </si>
  <si>
    <t>Total ingresos de fuente extranjera del ejercicio</t>
  </si>
  <si>
    <t>Neto Factura    ($)</t>
  </si>
  <si>
    <t>Egresos</t>
  </si>
  <si>
    <t>Neto 
($)</t>
  </si>
  <si>
    <t>Adeudado
 ($)</t>
  </si>
  <si>
    <t>Pagado
 ($)</t>
  </si>
  <si>
    <t>Total egresos del ejercicio</t>
  </si>
  <si>
    <t>Retiros del ejercicio</t>
  </si>
  <si>
    <t>Compra neta camioneta de reparto, usada</t>
  </si>
  <si>
    <t>Cotizaciones previsionales Diciembre de 2024</t>
  </si>
  <si>
    <t>Retenciones IUSC Diciembre 2024</t>
  </si>
  <si>
    <t>Octubre - Diciembre 2025</t>
  </si>
  <si>
    <t>Noviembre - Diciembre 2025</t>
  </si>
  <si>
    <r>
      <t xml:space="preserve">El CPTS determinado al 31.12.2024 e informado en el </t>
    </r>
    <r>
      <rPr>
        <b/>
        <sz val="10"/>
        <rFont val="Arial"/>
        <family val="2"/>
      </rPr>
      <t>código 1545</t>
    </r>
    <r>
      <rPr>
        <sz val="10"/>
        <rFont val="Arial"/>
        <family val="2"/>
      </rPr>
      <t xml:space="preserve"> del </t>
    </r>
    <r>
      <rPr>
        <b/>
        <sz val="10"/>
        <rFont val="Arial"/>
        <family val="2"/>
      </rPr>
      <t>recuadro N° 19</t>
    </r>
    <r>
      <rPr>
        <sz val="10"/>
        <rFont val="Arial"/>
        <family val="2"/>
      </rPr>
      <t xml:space="preserve"> del F-22 AT 2025:</t>
    </r>
  </si>
  <si>
    <t>Otros antecedentes:</t>
  </si>
  <si>
    <t>Históricos 
($)</t>
  </si>
  <si>
    <t>Actualizados 
($)</t>
  </si>
  <si>
    <t>Detalle de los Retiros del Ejercicio</t>
  </si>
  <si>
    <t>Total retiros del ejercicio</t>
  </si>
  <si>
    <t>Detalle de los PPM pagados del Ejercicio</t>
  </si>
  <si>
    <t>Total PPM pagado del ejercicio</t>
  </si>
  <si>
    <t>(1) La ley N° 21.755 reduce transitoriamente la tasa de IDPC para las empresas acogidas al régimen Pro PYME contemplado en la letra D) del artículo 14 LIR, de 25% a 12,5%, por la rentas percibidas o devengadas que deban formar parte de su base imponible durante los ejercicios comerciales 2025, 2026 y  2027. Para el año comercial 2028 la tasa rebajada es de 15%.</t>
  </si>
  <si>
    <t>(2) Circular N°53 de 2025.</t>
  </si>
  <si>
    <r>
      <t xml:space="preserve">Los saldos de los registros de renta empresariales al 31.12.2024 e informados en </t>
    </r>
    <r>
      <rPr>
        <b/>
        <sz val="10"/>
        <rFont val="Arial"/>
        <family val="2"/>
      </rPr>
      <t xml:space="preserve">recuadros N°s 20 </t>
    </r>
    <r>
      <rPr>
        <sz val="10"/>
        <rFont val="Arial"/>
        <family val="2"/>
      </rPr>
      <t xml:space="preserve">y </t>
    </r>
    <r>
      <rPr>
        <b/>
        <sz val="10"/>
        <rFont val="Arial"/>
        <family val="2"/>
      </rPr>
      <t>21</t>
    </r>
    <r>
      <rPr>
        <sz val="10"/>
        <rFont val="Arial"/>
        <family val="2"/>
      </rPr>
      <t xml:space="preserve"> del F-22 AT 2025,  fueron los siguientes:</t>
    </r>
  </si>
  <si>
    <t>Ingresos no Renta</t>
  </si>
  <si>
    <t>Régimen tributario</t>
  </si>
  <si>
    <t>Dividendo de fuente extranjera percibido con fecha 10.07.2025, en Dólar EE.UU</t>
  </si>
  <si>
    <t>Tipo de cambio Dólar EE.UU al 10.07.2025</t>
  </si>
  <si>
    <t>Tasa del Impuesto de retención soportado en el extranjero</t>
  </si>
  <si>
    <t>Tasa del Impuesto corporativo soportado en el extranjero</t>
  </si>
  <si>
    <t>Determinación de los impuestos extranjeros utilizables como créditos</t>
  </si>
  <si>
    <t>Determinación de la imputación del CTD</t>
  </si>
  <si>
    <t>(a) Renta Neta</t>
  </si>
  <si>
    <t>Dividendo extranjero percibido en pesos (Dólar EE.UU 8.000 x $948,33)</t>
  </si>
  <si>
    <t>Gastos relacionados al dividendo</t>
  </si>
  <si>
    <t>Pérdidas relacionadas al dividendo</t>
  </si>
  <si>
    <t>(i) Impuestos efectivamente soportados en el extranjero</t>
  </si>
  <si>
    <t>Dólar EE.UU 8.000 x $948,33 = $7.586.640 / 0,85 = $8.925.459 x 15%</t>
  </si>
  <si>
    <t>$8.925.459 / 0,68 x 32%</t>
  </si>
  <si>
    <t>(ii) 35% sobre la renta bruta ($7.586.640 + $5.539.035 = $13.125.675)</t>
  </si>
  <si>
    <t>(c) Tope global, ((a) + (b)) x 35%:</t>
  </si>
  <si>
    <t>(b) Tope Individual, cantidad menor entre:</t>
  </si>
  <si>
    <t>(a) Renta neta del ejercicio</t>
  </si>
  <si>
    <t>(b) Tope individual determinado</t>
  </si>
  <si>
    <t>(d) CTD, cantidad menor entre (b) y (c):</t>
  </si>
  <si>
    <t>(b) Tope individual</t>
  </si>
  <si>
    <t>(c) Tope global</t>
  </si>
  <si>
    <t>Crédito por IPE imputable al IDPC</t>
  </si>
  <si>
    <t>Crédito por IPE imputable a IF (Registrar en SAC)</t>
  </si>
  <si>
    <t>(d) CTD (Impuestos que pueden ser utilizados como crédito)</t>
  </si>
  <si>
    <t>(d) CTD - crédito imputable al IDPC ($4.263.219 - $1.481.232)</t>
  </si>
  <si>
    <t>(e) Renta imponible x tasa IDPC ($11.849.859 x 12,5%)</t>
  </si>
  <si>
    <t>La variación de IPC del ejercicio 2025 fue el siguiente:</t>
  </si>
  <si>
    <t>Código R17
 F-22</t>
  </si>
  <si>
    <t>(+)</t>
  </si>
  <si>
    <t>(=)</t>
  </si>
  <si>
    <t>(-)</t>
  </si>
  <si>
    <t>Ingresos del Ejercicio</t>
  </si>
  <si>
    <t>Determinación de la Base Imponible de Primera Categoría al 31.12.2025</t>
  </si>
  <si>
    <t>Total ingresos de fuente extranjera</t>
  </si>
  <si>
    <t>Total otros ingresos</t>
  </si>
  <si>
    <t>Total ingresos</t>
  </si>
  <si>
    <t>Egresos del Ejercicio</t>
  </si>
  <si>
    <t>Total egresos del giro</t>
  </si>
  <si>
    <t>Total gastos rechazados incisio segundo artículo 21 LIR</t>
  </si>
  <si>
    <t>(=) Sub total Base Imponible</t>
  </si>
  <si>
    <t>Deducción incentivo al ahorro art. 14 letra E)</t>
  </si>
  <si>
    <t>Deducción incentivo al ahorro art. 14 letra E) LIR (cantidad menor entre 50% BI Invertida o 5.000 UF = $198.639.800.-)</t>
  </si>
  <si>
    <t>Base Imponible antes de incentivo al ahorro art. 14 letra E)</t>
  </si>
  <si>
    <t>BASE IMPONIBLE IDPC</t>
  </si>
  <si>
    <t>Determinación RAI al 31.12.2025</t>
  </si>
  <si>
    <r>
      <t xml:space="preserve">(+) Capital propio tributario simplificado al </t>
    </r>
    <r>
      <rPr>
        <b/>
        <sz val="10"/>
        <rFont val="Arial"/>
        <family val="2"/>
      </rPr>
      <t>31.12.2025</t>
    </r>
  </si>
  <si>
    <r>
      <t xml:space="preserve">(+) Retiros del ejercicio </t>
    </r>
    <r>
      <rPr>
        <b/>
        <sz val="10"/>
        <rFont val="Arial"/>
        <family val="2"/>
      </rPr>
      <t xml:space="preserve">históricos </t>
    </r>
    <r>
      <rPr>
        <sz val="10"/>
        <rFont val="Arial"/>
        <family val="2"/>
      </rPr>
      <t>al</t>
    </r>
    <r>
      <rPr>
        <b/>
        <sz val="10"/>
        <rFont val="Arial"/>
        <family val="2"/>
      </rPr>
      <t xml:space="preserve"> 31.12.2025</t>
    </r>
  </si>
  <si>
    <t>(-) Saldo registro REX positivo antes de imputación</t>
  </si>
  <si>
    <r>
      <t>(- ) Capital social aportado histórico al</t>
    </r>
    <r>
      <rPr>
        <b/>
        <sz val="10"/>
        <rFont val="Arial"/>
        <family val="2"/>
      </rPr>
      <t xml:space="preserve"> 31.12.2025</t>
    </r>
  </si>
  <si>
    <t xml:space="preserve">(=) Rentas afectas del ejercicio </t>
  </si>
  <si>
    <t>Registros Tributario de Rentas Empresariales al 31.12.2025 artículo 14 letra D) N° 3</t>
  </si>
  <si>
    <t>Subtotal antes de imputaciones</t>
  </si>
  <si>
    <t>Remanentes ejercicio siguiente</t>
  </si>
  <si>
    <t>(+) REX percibidos</t>
  </si>
  <si>
    <t>Menos retiros efectuados en el ejercicio:</t>
  </si>
  <si>
    <t>($8.000.000 / 0,65 x 12,5%) =</t>
  </si>
  <si>
    <t>($8.000.000 / 0,65 x 22,5%) =</t>
  </si>
  <si>
    <r>
      <t>(+) Capital propio tributario al</t>
    </r>
    <r>
      <rPr>
        <b/>
        <sz val="10"/>
        <rFont val="Arial"/>
        <family val="2"/>
      </rPr>
      <t xml:space="preserve"> 01.01.2025</t>
    </r>
  </si>
  <si>
    <t xml:space="preserve">(+) Base Imponible ejercicio </t>
  </si>
  <si>
    <t>(+) Total Dividendos percibidos</t>
  </si>
  <si>
    <r>
      <t xml:space="preserve">(-) Retiros del ejercicio, </t>
    </r>
    <r>
      <rPr>
        <b/>
        <sz val="10"/>
        <rFont val="Arial"/>
        <family val="2"/>
      </rPr>
      <t>históricos</t>
    </r>
  </si>
  <si>
    <r>
      <t xml:space="preserve">(-) Intereses y multas fiscales, </t>
    </r>
    <r>
      <rPr>
        <b/>
        <sz val="10"/>
        <rFont val="Arial"/>
        <family val="2"/>
      </rPr>
      <t>históricos</t>
    </r>
  </si>
  <si>
    <r>
      <t xml:space="preserve">(-) Pago IDPC AT 2025, </t>
    </r>
    <r>
      <rPr>
        <b/>
        <sz val="10"/>
        <rFont val="Arial"/>
        <family val="2"/>
      </rPr>
      <t>histórico</t>
    </r>
  </si>
  <si>
    <t>(-) Crédito IPE contra IF del ejercicio</t>
  </si>
  <si>
    <t xml:space="preserve">(+) Incentivo al ahorro art. 14 letra E) </t>
  </si>
  <si>
    <t>(=)  Capital Propio Tributario Simplificado</t>
  </si>
  <si>
    <t>Dividendo de fuente extranjera, percibido</t>
  </si>
  <si>
    <t>Remuneraciones del ejercicio, monto bruto</t>
  </si>
  <si>
    <t>Honorarios del ejercicio, monto bruto</t>
  </si>
  <si>
    <t>Montos Históricos</t>
  </si>
  <si>
    <t>Renta</t>
  </si>
  <si>
    <t>Créditos IDPC</t>
  </si>
  <si>
    <t>Montos Actualizados</t>
  </si>
  <si>
    <t>Detalle de los Retiros</t>
  </si>
  <si>
    <t>Total Históricos 
($)</t>
  </si>
  <si>
    <t>Total Actualizados 
($)</t>
  </si>
  <si>
    <t>Crédito por IDPC generados a contar del 01.01.2017</t>
  </si>
  <si>
    <t xml:space="preserve"> (e) Renta Imponible, ((a) + (d)):</t>
  </si>
  <si>
    <t>(=) BI Invertida</t>
  </si>
  <si>
    <t xml:space="preserve">iv) </t>
  </si>
  <si>
    <t>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</si>
</sst>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7" formatCode="&quot;$&quot;#,##0.00;&quot;$&quot;\-#,##0.00"/>
    <numFmt numFmtId="42" formatCode="_ &quot;$&quot;* #,##0_ ;_ &quot;$&quot;* \-#,##0_ ;_ &quot;$&quot;* &quot;-&quot;_ ;_ @_ "/>
    <numFmt numFmtId="41" formatCode="_ * #,##0_ ;_ * \-#,##0_ ;_ * &quot;-&quot;_ ;_ @_ "/>
    <numFmt numFmtId="43" formatCode="_ * #,##0.00_ ;_ * \-#,##0.00_ ;_ * &quot;-&quot;??_ ;_ @_ "/>
    <numFmt numFmtId="164" formatCode="#,##0;\(#,##0\)"/>
    <numFmt numFmtId="165" formatCode="#,##0.000000"/>
    <numFmt numFmtId="166" formatCode="_-* #,##0\ _$_-;\-* #,##0\ _$_-;_-* &quot;-&quot;??\ _$_-;_-@_-"/>
    <numFmt numFmtId="167" formatCode="_-* #,##0.000000\ _$_-;\-* #,##0.000000\ _$_-;_-* &quot;-&quot;??\ _$_-;_-@_-"/>
    <numFmt numFmtId="168" formatCode="#,##0.000_ ;\-#,##0.000\ "/>
    <numFmt numFmtId="169" formatCode="0.0%"/>
    <numFmt numFmtId="170" formatCode="_-* #,##0.00\ _$_-;\-* #,##0.00\ _$_-;_-* &quot;-&quot;??\ _$_-;_-@_-"/>
    <numFmt numFmtId="171" formatCode="#,##0.000"/>
    <numFmt numFmtId="172" formatCode="#,##0_ ;\-#,##0\ "/>
    <numFmt numFmtId="173" formatCode="#,##0.000000;\(#,##0.000000\)"/>
    <numFmt numFmtId="174" formatCode="_ &quot;$&quot;* #,##0.000000_ ;_ &quot;$&quot;* \-#,##0.000000_ ;_ &quot;$&quot;* &quot;-&quot;_ ;_ @_ "/>
    <numFmt numFmtId="175" formatCode="dd/mm/yyyy;@"/>
    <numFmt numFmtId="176" formatCode="&quot;$&quot;\ #,##0"/>
    <numFmt numFmtId="177" formatCode="#,##0.00;\(#,##0.00\)"/>
    <numFmt numFmtId="178" formatCode="_ &quot;$&quot;* #,##0_ ;_ &quot;$&quot;* \-#,##0_ ;_ &quot;$&quot;* &quot;0&quot;_ ;_ @_ "/>
    <numFmt numFmtId="179" formatCode="_ &quot;$&quot;* #,##0_ ;_ &quot;$&quot;* \(#,##0\)_ ;_ &quot;$&quot;* &quot;-&quot;_ ;_ @_ "/>
  </numFmts>
  <fonts count="36" x14ac:knownFonts="1">
    <font>
      <sz val="11"/>
      <color theme="1"/>
      <name val="Calibri"/>
      <family val="2"/>
      <scheme val="minor"/>
    </font>
    <font>
      <sz val="10"/>
      <name val="Arial"/>
      <family val="2"/>
    </font>
    <font>
      <sz val="10"/>
      <name val="Calibri"/>
      <family val="2"/>
      <scheme val="minor"/>
    </font>
    <font>
      <b/>
      <sz val="14"/>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2"/>
      <color theme="1"/>
      <name val="Calibri"/>
      <family val="2"/>
      <scheme val="minor"/>
    </font>
    <font>
      <sz val="10"/>
      <name val="Times New Roman"/>
      <family val="1"/>
    </font>
    <font>
      <sz val="11"/>
      <name val="Calibri"/>
      <family val="2"/>
      <scheme val="minor"/>
    </font>
    <font>
      <b/>
      <sz val="10"/>
      <name val="Arial"/>
      <family val="2"/>
    </font>
    <font>
      <b/>
      <sz val="12"/>
      <color rgb="FFFF0000"/>
      <name val="Calibri"/>
      <family val="2"/>
      <scheme val="minor"/>
    </font>
    <font>
      <sz val="12"/>
      <color theme="0"/>
      <name val="Calibri"/>
      <family val="2"/>
      <scheme val="minor"/>
    </font>
    <font>
      <sz val="11"/>
      <name val="Calibri"/>
      <family val="2"/>
    </font>
    <font>
      <sz val="16"/>
      <name val="Calibri"/>
      <family val="2"/>
    </font>
    <font>
      <u/>
      <sz val="10"/>
      <name val="Arial"/>
      <family val="2"/>
    </font>
    <font>
      <b/>
      <sz val="11"/>
      <color rgb="FFFF0000"/>
      <name val="Calibri"/>
      <family val="2"/>
      <scheme val="minor"/>
    </font>
    <font>
      <sz val="8"/>
      <name val="Verdana"/>
      <family val="2"/>
    </font>
    <font>
      <b/>
      <sz val="10"/>
      <color rgb="FFFF0000"/>
      <name val="Arial"/>
      <family val="2"/>
    </font>
    <font>
      <sz val="11"/>
      <color rgb="FFFF0000"/>
      <name val="Calibri"/>
      <family val="2"/>
      <scheme val="minor"/>
    </font>
    <font>
      <sz val="11"/>
      <color theme="1"/>
      <name val="Calibri"/>
      <family val="2"/>
    </font>
    <font>
      <sz val="10"/>
      <color theme="1"/>
      <name val="Arial"/>
      <family val="2"/>
    </font>
    <font>
      <b/>
      <sz val="10"/>
      <color theme="1"/>
      <name val="Arial"/>
      <family val="2"/>
    </font>
    <font>
      <sz val="10"/>
      <color rgb="FF00B050"/>
      <name val="Arial"/>
      <family val="2"/>
    </font>
    <font>
      <sz val="12"/>
      <color theme="1"/>
      <name val="Arial"/>
      <family val="2"/>
    </font>
    <font>
      <sz val="8"/>
      <name val="Arial"/>
      <family val="2"/>
    </font>
    <font>
      <b/>
      <sz val="14"/>
      <name val="Calibri"/>
      <family val="2"/>
    </font>
    <font>
      <sz val="12"/>
      <name val="Arial"/>
      <family val="2"/>
    </font>
    <font>
      <b/>
      <sz val="11"/>
      <name val="Calibri"/>
      <family val="2"/>
    </font>
    <font>
      <u/>
      <sz val="11"/>
      <color theme="10"/>
      <name val="Calibri"/>
      <family val="2"/>
      <scheme val="minor"/>
    </font>
    <font>
      <b/>
      <sz val="11"/>
      <name val="Calibri"/>
      <family val="2"/>
      <scheme val="minor"/>
    </font>
    <font>
      <u/>
      <sz val="11"/>
      <name val="Calibri"/>
      <family val="2"/>
      <scheme val="minor"/>
    </font>
    <font>
      <b/>
      <u/>
      <sz val="11"/>
      <color theme="1"/>
      <name val="Calibri"/>
      <family val="2"/>
      <scheme val="minor"/>
    </font>
    <font>
      <sz val="10"/>
      <color rgb="FFFF0000"/>
      <name val="Arial"/>
      <family val="2"/>
    </font>
    <font>
      <sz val="11"/>
      <name val="Arial"/>
      <family val="2"/>
    </font>
    <font>
      <sz val="10"/>
      <color theme="1" tint="0.34998626667073579"/>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9"/>
        <bgColor indexed="64"/>
      </patternFill>
    </fill>
    <fill>
      <patternFill patternType="solid">
        <fgColor theme="5" tint="0.79998168889431442"/>
        <bgColor indexed="64"/>
      </patternFill>
    </fill>
    <fill>
      <patternFill patternType="solid">
        <fgColor theme="5" tint="0.79998168889431442"/>
        <bgColor rgb="FF000000"/>
      </patternFill>
    </fill>
  </fills>
  <borders count="5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top/>
      <bottom style="thin">
        <color auto="1"/>
      </bottom>
      <diagonal/>
    </border>
    <border>
      <left/>
      <right/>
      <top/>
      <bottom style="thin">
        <color auto="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theme="4"/>
      </top>
      <bottom style="double">
        <color theme="4"/>
      </bottom>
      <diagonal/>
    </border>
    <border>
      <left style="thin">
        <color theme="4"/>
      </left>
      <right style="thin">
        <color theme="4"/>
      </right>
      <top style="thin">
        <color theme="4"/>
      </top>
      <bottom style="thin">
        <color theme="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bottom/>
      <diagonal/>
    </border>
    <border>
      <left/>
      <right style="thin">
        <color theme="4"/>
      </right>
      <top/>
      <bottom/>
      <diagonal/>
    </border>
    <border>
      <left style="thin">
        <color theme="4"/>
      </left>
      <right/>
      <top/>
      <bottom style="thin">
        <color theme="4"/>
      </bottom>
      <diagonal/>
    </border>
    <border>
      <left/>
      <right/>
      <top/>
      <bottom style="thin">
        <color theme="4"/>
      </bottom>
      <diagonal/>
    </border>
    <border>
      <left/>
      <right/>
      <top style="thin">
        <color indexed="64"/>
      </top>
      <bottom style="thin">
        <color theme="4"/>
      </bottom>
      <diagonal/>
    </border>
    <border>
      <left/>
      <right style="thin">
        <color theme="4"/>
      </right>
      <top style="thin">
        <color indexed="6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style="thin">
        <color theme="4"/>
      </top>
      <bottom style="double">
        <color theme="4"/>
      </bottom>
      <diagonal/>
    </border>
    <border>
      <left style="thin">
        <color theme="4"/>
      </left>
      <right/>
      <top style="thin">
        <color theme="4"/>
      </top>
      <bottom style="double">
        <color theme="4"/>
      </bottom>
      <diagonal/>
    </border>
    <border>
      <left style="thin">
        <color auto="1"/>
      </left>
      <right style="thin">
        <color theme="4"/>
      </right>
      <top style="thin">
        <color theme="4"/>
      </top>
      <bottom style="thin">
        <color theme="4"/>
      </bottom>
      <diagonal/>
    </border>
    <border>
      <left style="thin">
        <color auto="1"/>
      </left>
      <right style="thin">
        <color auto="1"/>
      </right>
      <top/>
      <bottom style="thin">
        <color theme="4"/>
      </bottom>
      <diagonal/>
    </border>
    <border>
      <left style="thin">
        <color auto="1"/>
      </left>
      <right style="thin">
        <color theme="4"/>
      </right>
      <top/>
      <bottom style="thin">
        <color theme="4"/>
      </bottom>
      <diagonal/>
    </border>
    <border>
      <left/>
      <right style="thin">
        <color auto="1"/>
      </right>
      <top style="thin">
        <color theme="4"/>
      </top>
      <bottom style="thin">
        <color theme="4"/>
      </bottom>
      <diagonal/>
    </border>
    <border>
      <left style="thin">
        <color theme="4"/>
      </left>
      <right style="thin">
        <color theme="4"/>
      </right>
      <top/>
      <bottom/>
      <diagonal/>
    </border>
    <border>
      <left style="thin">
        <color theme="4"/>
      </left>
      <right style="thin">
        <color theme="4"/>
      </right>
      <top/>
      <bottom style="double">
        <color theme="4"/>
      </bottom>
      <diagonal/>
    </border>
    <border>
      <left style="thin">
        <color theme="4"/>
      </left>
      <right/>
      <top/>
      <bottom style="double">
        <color theme="4"/>
      </bottom>
      <diagonal/>
    </border>
    <border>
      <left/>
      <right/>
      <top/>
      <bottom style="double">
        <color theme="4"/>
      </bottom>
      <diagonal/>
    </border>
    <border>
      <left/>
      <right style="thin">
        <color theme="4"/>
      </right>
      <top/>
      <bottom style="double">
        <color theme="4"/>
      </bottom>
      <diagonal/>
    </border>
    <border>
      <left/>
      <right style="thin">
        <color theme="4"/>
      </right>
      <top/>
      <bottom style="thin">
        <color indexed="64"/>
      </bottom>
      <diagonal/>
    </border>
    <border>
      <left/>
      <right style="thin">
        <color theme="4"/>
      </right>
      <top style="thin">
        <color theme="4"/>
      </top>
      <bottom style="double">
        <color theme="4"/>
      </bottom>
      <diagonal/>
    </border>
    <border>
      <left style="thin">
        <color theme="4"/>
      </left>
      <right style="thin">
        <color theme="4"/>
      </right>
      <top style="thin">
        <color indexed="64"/>
      </top>
      <bottom style="thin">
        <color theme="4"/>
      </bottom>
      <diagonal/>
    </border>
    <border>
      <left style="thin">
        <color theme="4"/>
      </left>
      <right style="thin">
        <color indexed="64"/>
      </right>
      <top/>
      <bottom style="thin">
        <color theme="4"/>
      </bottom>
      <diagonal/>
    </border>
    <border>
      <left style="thin">
        <color theme="4"/>
      </left>
      <right style="thin">
        <color theme="4"/>
      </right>
      <top style="thin">
        <color theme="4"/>
      </top>
      <bottom style="thin">
        <color indexed="64"/>
      </bottom>
      <diagonal/>
    </border>
    <border>
      <left style="thin">
        <color theme="4"/>
      </left>
      <right style="thin">
        <color theme="4"/>
      </right>
      <top style="thin">
        <color indexed="64"/>
      </top>
      <bottom style="thin">
        <color indexed="64"/>
      </bottom>
      <diagonal/>
    </border>
    <border>
      <left/>
      <right style="thin">
        <color theme="4"/>
      </right>
      <top style="thin">
        <color auto="1"/>
      </top>
      <bottom style="thin">
        <color auto="1"/>
      </bottom>
      <diagonal/>
    </border>
    <border>
      <left/>
      <right style="thin">
        <color theme="4"/>
      </right>
      <top style="double">
        <color theme="4"/>
      </top>
      <bottom style="thin">
        <color theme="4"/>
      </bottom>
      <diagonal/>
    </border>
    <border>
      <left style="thin">
        <color theme="4"/>
      </left>
      <right style="thin">
        <color theme="4"/>
      </right>
      <top style="double">
        <color theme="4"/>
      </top>
      <bottom style="thin">
        <color theme="4"/>
      </bottom>
      <diagonal/>
    </border>
    <border>
      <left style="thin">
        <color auto="1"/>
      </left>
      <right style="thin">
        <color auto="1"/>
      </right>
      <top style="thin">
        <color theme="4"/>
      </top>
      <bottom style="thin">
        <color theme="4"/>
      </bottom>
      <diagonal/>
    </border>
    <border>
      <left style="thin">
        <color theme="4"/>
      </left>
      <right style="thin">
        <color auto="1"/>
      </right>
      <top style="thin">
        <color theme="4"/>
      </top>
      <bottom style="thin">
        <color theme="4"/>
      </bottom>
      <diagonal/>
    </border>
    <border>
      <left style="thin">
        <color theme="4"/>
      </left>
      <right style="thin">
        <color theme="4"/>
      </right>
      <top/>
      <bottom style="thin">
        <color indexed="64"/>
      </bottom>
      <diagonal/>
    </border>
  </borders>
  <cellStyleXfs count="12">
    <xf numFmtId="0" fontId="0" fillId="0" borderId="0"/>
    <xf numFmtId="0" fontId="1" fillId="0" borderId="0"/>
    <xf numFmtId="43" fontId="4" fillId="0" borderId="0" applyFont="0" applyFill="0" applyBorder="0" applyAlignment="0" applyProtection="0"/>
    <xf numFmtId="9" fontId="4" fillId="0" borderId="0" applyFont="0" applyFill="0" applyBorder="0" applyAlignment="0" applyProtection="0"/>
    <xf numFmtId="170" fontId="4" fillId="0" borderId="0" applyFont="0" applyFill="0" applyBorder="0" applyAlignment="0" applyProtection="0"/>
    <xf numFmtId="0" fontId="8" fillId="0" borderId="0"/>
    <xf numFmtId="170" fontId="8" fillId="0" borderId="0" applyFont="0" applyFill="0" applyBorder="0" applyAlignment="0" applyProtection="0"/>
    <xf numFmtId="0" fontId="1" fillId="0" borderId="0"/>
    <xf numFmtId="41" fontId="4" fillId="0" borderId="0" applyFont="0" applyFill="0" applyBorder="0" applyAlignment="0" applyProtection="0"/>
    <xf numFmtId="42" fontId="4" fillId="0" borderId="0" applyFont="0" applyFill="0" applyBorder="0" applyAlignment="0" applyProtection="0"/>
    <xf numFmtId="0" fontId="1" fillId="0" borderId="0"/>
    <xf numFmtId="0" fontId="29" fillId="0" borderId="0" applyNumberFormat="0" applyFill="0" applyBorder="0" applyAlignment="0" applyProtection="0"/>
  </cellStyleXfs>
  <cellXfs count="651">
    <xf numFmtId="0" fontId="0" fillId="0" borderId="0" xfId="0"/>
    <xf numFmtId="164" fontId="0" fillId="0" borderId="0" xfId="0" applyNumberFormat="1"/>
    <xf numFmtId="164" fontId="5" fillId="0" borderId="0" xfId="0" applyNumberFormat="1" applyFont="1"/>
    <xf numFmtId="164" fontId="3" fillId="0" borderId="0" xfId="0" applyNumberFormat="1" applyFont="1" applyAlignment="1">
      <alignment vertical="center"/>
    </xf>
    <xf numFmtId="164" fontId="7" fillId="0" borderId="0" xfId="0" applyNumberFormat="1" applyFont="1"/>
    <xf numFmtId="42" fontId="9" fillId="0" borderId="0" xfId="0" applyNumberFormat="1" applyFont="1"/>
    <xf numFmtId="164" fontId="9" fillId="0" borderId="0" xfId="0" applyNumberFormat="1" applyFont="1"/>
    <xf numFmtId="164" fontId="2" fillId="0" borderId="0" xfId="0" applyNumberFormat="1" applyFont="1"/>
    <xf numFmtId="0" fontId="7" fillId="0" borderId="0" xfId="0" applyFont="1"/>
    <xf numFmtId="0" fontId="12" fillId="0" borderId="0" xfId="0" applyFont="1"/>
    <xf numFmtId="164" fontId="6" fillId="0" borderId="0" xfId="0" applyNumberFormat="1" applyFont="1"/>
    <xf numFmtId="0" fontId="9" fillId="0" borderId="0" xfId="0" applyFont="1"/>
    <xf numFmtId="0" fontId="9" fillId="0" borderId="0" xfId="0" applyFont="1" applyAlignment="1">
      <alignment wrapText="1"/>
    </xf>
    <xf numFmtId="0" fontId="6" fillId="0" borderId="0" xfId="0" applyFont="1"/>
    <xf numFmtId="3" fontId="9" fillId="0" borderId="0" xfId="0" applyNumberFormat="1" applyFont="1" applyAlignment="1">
      <alignment horizontal="right"/>
    </xf>
    <xf numFmtId="0" fontId="11" fillId="0" borderId="0" xfId="0" applyFont="1"/>
    <xf numFmtId="0" fontId="9" fillId="0" borderId="0" xfId="10" applyFont="1"/>
    <xf numFmtId="42" fontId="9" fillId="0" borderId="0" xfId="9" applyFont="1"/>
    <xf numFmtId="3" fontId="9" fillId="0" borderId="0" xfId="10" applyNumberFormat="1" applyFont="1"/>
    <xf numFmtId="0" fontId="2" fillId="0" borderId="0" xfId="10" applyFont="1"/>
    <xf numFmtId="3" fontId="2" fillId="0" borderId="0" xfId="10" applyNumberFormat="1" applyFont="1"/>
    <xf numFmtId="42" fontId="1" fillId="0" borderId="0" xfId="0" applyNumberFormat="1" applyFont="1"/>
    <xf numFmtId="164" fontId="1" fillId="0" borderId="0" xfId="0" applyNumberFormat="1" applyFont="1"/>
    <xf numFmtId="164" fontId="10" fillId="0" borderId="0" xfId="0" applyNumberFormat="1" applyFont="1"/>
    <xf numFmtId="0" fontId="1" fillId="0" borderId="0" xfId="0" applyFont="1" applyAlignment="1">
      <alignment vertical="center" wrapText="1"/>
    </xf>
    <xf numFmtId="3" fontId="1" fillId="0" borderId="0" xfId="0" applyNumberFormat="1" applyFont="1" applyAlignment="1">
      <alignment horizontal="left" vertical="top" wrapText="1"/>
    </xf>
    <xf numFmtId="3" fontId="1" fillId="0" borderId="0" xfId="0" applyNumberFormat="1" applyFont="1"/>
    <xf numFmtId="164" fontId="1" fillId="0" borderId="0" xfId="0" applyNumberFormat="1" applyFont="1" applyAlignment="1">
      <alignment horizontal="center" vertical="center" wrapText="1"/>
    </xf>
    <xf numFmtId="0" fontId="10" fillId="0" borderId="0" xfId="0" applyFont="1"/>
    <xf numFmtId="9" fontId="1" fillId="0" borderId="0" xfId="3" applyFont="1"/>
    <xf numFmtId="0" fontId="1" fillId="0" borderId="0" xfId="0" applyFont="1"/>
    <xf numFmtId="166" fontId="1" fillId="0" borderId="0" xfId="2" applyNumberFormat="1" applyFont="1" applyFill="1" applyBorder="1" applyAlignment="1">
      <alignment horizontal="right"/>
    </xf>
    <xf numFmtId="166" fontId="1" fillId="0" borderId="0" xfId="2" applyNumberFormat="1" applyFont="1" applyFill="1" applyBorder="1"/>
    <xf numFmtId="164" fontId="1" fillId="0" borderId="0" xfId="0" applyNumberFormat="1" applyFont="1" applyAlignment="1">
      <alignment horizontal="center"/>
    </xf>
    <xf numFmtId="174" fontId="1" fillId="0" borderId="0" xfId="0" applyNumberFormat="1" applyFont="1"/>
    <xf numFmtId="42" fontId="1" fillId="0" borderId="0" xfId="9" applyFont="1" applyFill="1" applyBorder="1" applyAlignment="1"/>
    <xf numFmtId="172" fontId="1" fillId="0" borderId="0" xfId="2" applyNumberFormat="1" applyFont="1" applyFill="1" applyBorder="1" applyAlignment="1">
      <alignment horizontal="left"/>
    </xf>
    <xf numFmtId="172" fontId="1" fillId="0" borderId="0" xfId="0" applyNumberFormat="1" applyFont="1" applyAlignment="1">
      <alignment wrapText="1"/>
    </xf>
    <xf numFmtId="42" fontId="1" fillId="0" borderId="0" xfId="9" applyFont="1"/>
    <xf numFmtId="3" fontId="10" fillId="0" borderId="0" xfId="0" applyNumberFormat="1" applyFont="1"/>
    <xf numFmtId="169" fontId="1" fillId="3" borderId="0" xfId="3" applyNumberFormat="1" applyFont="1" applyFill="1"/>
    <xf numFmtId="164" fontId="1" fillId="0" borderId="0" xfId="0" quotePrefix="1" applyNumberFormat="1" applyFont="1"/>
    <xf numFmtId="7" fontId="1" fillId="3" borderId="0" xfId="3" applyNumberFormat="1" applyFont="1" applyFill="1"/>
    <xf numFmtId="4" fontId="1" fillId="0" borderId="0" xfId="0" applyNumberFormat="1" applyFont="1"/>
    <xf numFmtId="169" fontId="1" fillId="0" borderId="0" xfId="3" applyNumberFormat="1" applyFont="1"/>
    <xf numFmtId="164" fontId="1" fillId="0" borderId="0" xfId="0" applyNumberFormat="1" applyFont="1" applyAlignment="1">
      <alignment horizontal="left"/>
    </xf>
    <xf numFmtId="173" fontId="1" fillId="0" borderId="0" xfId="0" applyNumberFormat="1" applyFont="1"/>
    <xf numFmtId="164" fontId="1" fillId="0" borderId="0" xfId="0" applyNumberFormat="1" applyFont="1" applyAlignment="1">
      <alignment vertical="top" wrapText="1"/>
    </xf>
    <xf numFmtId="164" fontId="1" fillId="0" borderId="0" xfId="0" applyNumberFormat="1" applyFont="1" applyAlignment="1">
      <alignment vertical="top"/>
    </xf>
    <xf numFmtId="0" fontId="1" fillId="0" borderId="0" xfId="10"/>
    <xf numFmtId="42" fontId="1" fillId="0" borderId="0" xfId="9" applyFont="1" applyAlignment="1">
      <alignment horizontal="right"/>
    </xf>
    <xf numFmtId="3" fontId="1" fillId="0" borderId="0" xfId="10" applyNumberFormat="1"/>
    <xf numFmtId="42" fontId="1" fillId="0" borderId="0" xfId="9" applyFont="1" applyBorder="1"/>
    <xf numFmtId="166" fontId="1" fillId="3" borderId="0" xfId="2" applyNumberFormat="1" applyFont="1" applyFill="1" applyBorder="1" applyAlignment="1">
      <alignment horizontal="right"/>
    </xf>
    <xf numFmtId="166" fontId="1" fillId="3" borderId="0" xfId="2" applyNumberFormat="1" applyFont="1" applyFill="1" applyBorder="1"/>
    <xf numFmtId="164" fontId="10" fillId="0" borderId="0" xfId="0" applyNumberFormat="1" applyFont="1" applyAlignment="1">
      <alignment vertical="center"/>
    </xf>
    <xf numFmtId="0" fontId="1" fillId="0" borderId="0" xfId="0" applyFont="1" applyAlignment="1">
      <alignment horizontal="left" vertical="center"/>
    </xf>
    <xf numFmtId="0" fontId="10" fillId="0" borderId="0" xfId="0" applyFont="1" applyAlignment="1">
      <alignment horizontal="left"/>
    </xf>
    <xf numFmtId="164" fontId="10" fillId="0" borderId="0" xfId="0" applyNumberFormat="1" applyFont="1" applyAlignment="1">
      <alignment horizontal="right" wrapText="1"/>
    </xf>
    <xf numFmtId="42" fontId="1" fillId="0" borderId="0" xfId="2" applyNumberFormat="1" applyFont="1" applyFill="1" applyBorder="1" applyAlignment="1"/>
    <xf numFmtId="164" fontId="18" fillId="0" borderId="0" xfId="0" applyNumberFormat="1" applyFont="1"/>
    <xf numFmtId="164" fontId="1" fillId="0" borderId="0" xfId="0" applyNumberFormat="1" applyFont="1" applyAlignment="1">
      <alignment vertical="center"/>
    </xf>
    <xf numFmtId="42" fontId="1" fillId="0" borderId="0" xfId="0" applyNumberFormat="1" applyFont="1" applyAlignment="1">
      <alignment vertical="center"/>
    </xf>
    <xf numFmtId="164" fontId="2" fillId="0" borderId="0" xfId="0" applyNumberFormat="1" applyFont="1" applyAlignment="1">
      <alignment vertical="center"/>
    </xf>
    <xf numFmtId="0" fontId="18" fillId="0" borderId="0" xfId="10" applyFont="1"/>
    <xf numFmtId="0" fontId="1" fillId="0" borderId="0" xfId="9" applyNumberFormat="1" applyFont="1" applyAlignment="1">
      <alignment horizontal="right"/>
    </xf>
    <xf numFmtId="176" fontId="1" fillId="0" borderId="0" xfId="9" applyNumberFormat="1" applyFont="1" applyFill="1" applyBorder="1" applyAlignment="1">
      <alignment horizontal="left"/>
    </xf>
    <xf numFmtId="164" fontId="10" fillId="0" borderId="0" xfId="0" applyNumberFormat="1" applyFont="1" applyAlignment="1">
      <alignment horizontal="right"/>
    </xf>
    <xf numFmtId="164" fontId="21" fillId="0" borderId="0" xfId="0" applyNumberFormat="1" applyFont="1"/>
    <xf numFmtId="164" fontId="22" fillId="0" borderId="0" xfId="0" applyNumberFormat="1" applyFont="1" applyAlignment="1">
      <alignment vertical="center"/>
    </xf>
    <xf numFmtId="164" fontId="23" fillId="0" borderId="0" xfId="0" applyNumberFormat="1" applyFont="1"/>
    <xf numFmtId="164" fontId="22" fillId="0" borderId="0" xfId="0" applyNumberFormat="1" applyFont="1"/>
    <xf numFmtId="164" fontId="22" fillId="0" borderId="0" xfId="0" applyNumberFormat="1" applyFont="1" applyAlignment="1">
      <alignment horizontal="center"/>
    </xf>
    <xf numFmtId="173" fontId="21" fillId="0" borderId="0" xfId="0" applyNumberFormat="1" applyFont="1"/>
    <xf numFmtId="177" fontId="21" fillId="0" borderId="0" xfId="0" applyNumberFormat="1" applyFont="1"/>
    <xf numFmtId="0" fontId="21" fillId="0" borderId="0" xfId="0" applyFont="1"/>
    <xf numFmtId="0" fontId="18" fillId="0" borderId="0" xfId="0" applyFont="1"/>
    <xf numFmtId="3" fontId="21" fillId="0" borderId="0" xfId="0" applyNumberFormat="1" applyFont="1"/>
    <xf numFmtId="0" fontId="1" fillId="0" borderId="0" xfId="0" applyFont="1" applyAlignment="1">
      <alignment vertical="center"/>
    </xf>
    <xf numFmtId="0" fontId="21" fillId="0" borderId="0" xfId="0" applyFont="1" applyAlignment="1">
      <alignment vertical="center"/>
    </xf>
    <xf numFmtId="172" fontId="21" fillId="0" borderId="0" xfId="0" applyNumberFormat="1" applyFont="1" applyAlignment="1">
      <alignment vertical="center"/>
    </xf>
    <xf numFmtId="0" fontId="13" fillId="0" borderId="0" xfId="10" applyFont="1"/>
    <xf numFmtId="0" fontId="26" fillId="0" borderId="0" xfId="10" applyFont="1"/>
    <xf numFmtId="0" fontId="14" fillId="0" borderId="0" xfId="10" applyFont="1"/>
    <xf numFmtId="0" fontId="10" fillId="0" borderId="0" xfId="7" applyFont="1"/>
    <xf numFmtId="0" fontId="27" fillId="0" borderId="13" xfId="10" quotePrefix="1" applyFont="1" applyBorder="1" applyAlignment="1">
      <alignment horizontal="center"/>
    </xf>
    <xf numFmtId="0" fontId="13" fillId="0" borderId="0" xfId="7" quotePrefix="1" applyFont="1" applyAlignment="1">
      <alignment horizontal="left"/>
    </xf>
    <xf numFmtId="0" fontId="1" fillId="0" borderId="0" xfId="10" applyAlignment="1">
      <alignment horizontal="right"/>
    </xf>
    <xf numFmtId="0" fontId="1" fillId="0" borderId="0" xfId="10" applyAlignment="1">
      <alignment horizontal="center"/>
    </xf>
    <xf numFmtId="0" fontId="1" fillId="0" borderId="4" xfId="10" applyBorder="1"/>
    <xf numFmtId="0" fontId="13" fillId="0" borderId="1" xfId="10" applyFont="1" applyBorder="1"/>
    <xf numFmtId="0" fontId="13" fillId="0" borderId="14" xfId="10" applyFont="1" applyBorder="1"/>
    <xf numFmtId="0" fontId="13" fillId="0" borderId="2" xfId="10" applyFont="1" applyBorder="1"/>
    <xf numFmtId="164" fontId="13" fillId="0" borderId="2" xfId="10" applyNumberFormat="1" applyFont="1" applyBorder="1" applyAlignment="1">
      <alignment vertical="center" wrapText="1"/>
    </xf>
    <xf numFmtId="0" fontId="13" fillId="0" borderId="9" xfId="10" applyFont="1" applyBorder="1" applyAlignment="1">
      <alignment horizontal="center" vertical="center"/>
    </xf>
    <xf numFmtId="0" fontId="13" fillId="0" borderId="0" xfId="10" applyFont="1" applyAlignment="1">
      <alignment horizontal="center" vertical="center"/>
    </xf>
    <xf numFmtId="0" fontId="13" fillId="0" borderId="0" xfId="10" applyFont="1" applyAlignment="1">
      <alignment horizontal="left" vertical="center"/>
    </xf>
    <xf numFmtId="3" fontId="13" fillId="0" borderId="0" xfId="10" applyNumberFormat="1" applyFont="1"/>
    <xf numFmtId="164" fontId="13" fillId="0" borderId="0" xfId="10" applyNumberFormat="1" applyFont="1" applyAlignment="1">
      <alignment horizontal="center" vertical="center" wrapText="1"/>
    </xf>
    <xf numFmtId="0" fontId="15" fillId="0" borderId="0" xfId="10" applyFont="1"/>
    <xf numFmtId="0" fontId="13" fillId="0" borderId="4" xfId="10" applyFont="1" applyBorder="1" applyAlignment="1">
      <alignment horizontal="center" vertical="center"/>
    </xf>
    <xf numFmtId="0" fontId="25" fillId="0" borderId="0" xfId="7" applyFont="1" applyAlignment="1">
      <alignment horizontal="center"/>
    </xf>
    <xf numFmtId="0" fontId="25" fillId="0" borderId="1" xfId="7" applyFont="1" applyBorder="1" applyAlignment="1">
      <alignment vertical="center"/>
    </xf>
    <xf numFmtId="0" fontId="25" fillId="0" borderId="14" xfId="7" applyFont="1" applyBorder="1" applyAlignment="1">
      <alignment vertical="center"/>
    </xf>
    <xf numFmtId="0" fontId="25" fillId="0" borderId="0" xfId="7" applyFont="1" applyAlignment="1">
      <alignment vertical="center"/>
    </xf>
    <xf numFmtId="0" fontId="25" fillId="0" borderId="2" xfId="7" applyFont="1" applyBorder="1" applyAlignment="1">
      <alignment vertical="center"/>
    </xf>
    <xf numFmtId="14" fontId="13" fillId="0" borderId="9" xfId="10" applyNumberFormat="1" applyFont="1" applyBorder="1" applyAlignment="1">
      <alignment horizontal="center" vertical="center"/>
    </xf>
    <xf numFmtId="0" fontId="13" fillId="0" borderId="9" xfId="10" applyFont="1" applyBorder="1" applyAlignment="1">
      <alignment horizontal="left" vertical="center"/>
    </xf>
    <xf numFmtId="41" fontId="13" fillId="0" borderId="9" xfId="8" applyFont="1" applyBorder="1" applyAlignment="1">
      <alignment horizontal="center" vertical="center"/>
    </xf>
    <xf numFmtId="41" fontId="13" fillId="0" borderId="9" xfId="10" applyNumberFormat="1" applyFont="1" applyBorder="1" applyAlignment="1">
      <alignment horizontal="center" vertical="center"/>
    </xf>
    <xf numFmtId="0" fontId="29" fillId="0" borderId="0" xfId="11"/>
    <xf numFmtId="0" fontId="30" fillId="0" borderId="0" xfId="0" applyFont="1"/>
    <xf numFmtId="0" fontId="31" fillId="0" borderId="13" xfId="0" applyFont="1" applyBorder="1"/>
    <xf numFmtId="0" fontId="31" fillId="0" borderId="0" xfId="0" applyFont="1"/>
    <xf numFmtId="0" fontId="9" fillId="3" borderId="0" xfId="0" applyFont="1" applyFill="1"/>
    <xf numFmtId="0" fontId="30" fillId="3" borderId="0" xfId="0" applyFont="1" applyFill="1"/>
    <xf numFmtId="0" fontId="24" fillId="0" borderId="0" xfId="0" applyFont="1" applyAlignment="1">
      <alignment vertical="top" wrapText="1"/>
    </xf>
    <xf numFmtId="0" fontId="9" fillId="0" borderId="7" xfId="0" applyFont="1" applyBorder="1" applyAlignment="1">
      <alignment horizontal="center" vertical="center" wrapText="1"/>
    </xf>
    <xf numFmtId="0" fontId="9" fillId="0" borderId="11" xfId="0" applyFont="1" applyBorder="1" applyAlignment="1">
      <alignment horizontal="center" vertical="center" wrapText="1"/>
    </xf>
    <xf numFmtId="49" fontId="9" fillId="0" borderId="9" xfId="0" applyNumberFormat="1" applyFont="1" applyBorder="1" applyAlignment="1">
      <alignment horizontal="center" vertical="center" wrapText="1"/>
    </xf>
    <xf numFmtId="49" fontId="9" fillId="0" borderId="13" xfId="0" applyNumberFormat="1" applyFont="1" applyBorder="1" applyAlignment="1">
      <alignment horizontal="center" vertical="center" wrapText="1"/>
    </xf>
    <xf numFmtId="49" fontId="9" fillId="0" borderId="15" xfId="0" applyNumberFormat="1" applyFont="1" applyBorder="1" applyAlignment="1">
      <alignment horizontal="center" vertical="center" wrapText="1"/>
    </xf>
    <xf numFmtId="3" fontId="9" fillId="0" borderId="9" xfId="0" applyNumberFormat="1" applyFont="1" applyBorder="1" applyAlignment="1">
      <alignment horizontal="right"/>
    </xf>
    <xf numFmtId="3" fontId="9" fillId="0" borderId="15" xfId="0" applyNumberFormat="1" applyFont="1" applyBorder="1" applyAlignment="1">
      <alignment horizontal="right"/>
    </xf>
    <xf numFmtId="3" fontId="9" fillId="0" borderId="12" xfId="0" applyNumberFormat="1" applyFont="1" applyBorder="1" applyAlignment="1">
      <alignment horizontal="right"/>
    </xf>
    <xf numFmtId="0" fontId="9" fillId="0" borderId="4" xfId="0" applyFont="1" applyBorder="1" applyAlignment="1">
      <alignment horizontal="center"/>
    </xf>
    <xf numFmtId="0" fontId="9" fillId="0" borderId="4" xfId="0" applyFont="1" applyBorder="1"/>
    <xf numFmtId="0" fontId="9" fillId="3" borderId="4" xfId="0" applyFont="1" applyFill="1" applyBorder="1"/>
    <xf numFmtId="0" fontId="0" fillId="0" borderId="0" xfId="0" applyAlignment="1">
      <alignment vertical="top"/>
    </xf>
    <xf numFmtId="0" fontId="9" fillId="0" borderId="0" xfId="0" applyFont="1" applyAlignment="1">
      <alignment vertical="top"/>
    </xf>
    <xf numFmtId="0" fontId="19" fillId="0" borderId="0" xfId="0" applyFont="1"/>
    <xf numFmtId="0" fontId="21" fillId="0" borderId="0" xfId="0" applyFont="1" applyAlignment="1">
      <alignment vertical="center" wrapText="1"/>
    </xf>
    <xf numFmtId="0" fontId="21" fillId="0" borderId="11" xfId="0" applyFont="1" applyBorder="1" applyAlignment="1">
      <alignment vertical="center"/>
    </xf>
    <xf numFmtId="0" fontId="21" fillId="0" borderId="11" xfId="0" applyFont="1" applyBorder="1" applyAlignment="1">
      <alignment vertical="center" wrapText="1"/>
    </xf>
    <xf numFmtId="0" fontId="9" fillId="0" borderId="11" xfId="0" applyFont="1" applyBorder="1"/>
    <xf numFmtId="175" fontId="9" fillId="0" borderId="9" xfId="0" applyNumberFormat="1" applyFont="1" applyBorder="1" applyAlignment="1">
      <alignment horizontal="center"/>
    </xf>
    <xf numFmtId="171" fontId="9" fillId="0" borderId="9" xfId="0" applyNumberFormat="1" applyFont="1" applyBorder="1" applyAlignment="1">
      <alignment horizontal="right"/>
    </xf>
    <xf numFmtId="42" fontId="9" fillId="3" borderId="4" xfId="9" applyFont="1" applyFill="1" applyBorder="1"/>
    <xf numFmtId="3" fontId="9" fillId="0" borderId="9" xfId="0" applyNumberFormat="1" applyFont="1" applyBorder="1" applyAlignment="1">
      <alignment horizontal="center"/>
    </xf>
    <xf numFmtId="0" fontId="13" fillId="0" borderId="9" xfId="8" applyNumberFormat="1" applyFont="1" applyBorder="1" applyAlignment="1">
      <alignment horizontal="center" vertical="center"/>
    </xf>
    <xf numFmtId="164" fontId="33" fillId="0" borderId="0" xfId="0" applyNumberFormat="1" applyFont="1"/>
    <xf numFmtId="3" fontId="1" fillId="0" borderId="23" xfId="0" applyNumberFormat="1" applyFont="1" applyBorder="1"/>
    <xf numFmtId="164" fontId="9" fillId="0" borderId="24" xfId="0" applyNumberFormat="1" applyFont="1" applyBorder="1"/>
    <xf numFmtId="3" fontId="1" fillId="0" borderId="24" xfId="0" applyNumberFormat="1" applyFont="1" applyBorder="1"/>
    <xf numFmtId="164" fontId="1" fillId="0" borderId="24" xfId="0" applyNumberFormat="1" applyFont="1" applyBorder="1"/>
    <xf numFmtId="3" fontId="1" fillId="0" borderId="28" xfId="0" applyNumberFormat="1" applyFont="1" applyBorder="1"/>
    <xf numFmtId="3" fontId="1" fillId="0" borderId="29" xfId="0" applyNumberFormat="1" applyFont="1" applyBorder="1"/>
    <xf numFmtId="3" fontId="1" fillId="0" borderId="30" xfId="0" applyNumberFormat="1" applyFont="1" applyBorder="1"/>
    <xf numFmtId="164" fontId="1" fillId="0" borderId="30" xfId="0" applyNumberFormat="1" applyFont="1" applyBorder="1"/>
    <xf numFmtId="9" fontId="1" fillId="0" borderId="17" xfId="3" applyFont="1" applyBorder="1" applyAlignment="1">
      <alignment horizontal="center"/>
    </xf>
    <xf numFmtId="3" fontId="1" fillId="0" borderId="17" xfId="0" applyNumberFormat="1" applyFont="1" applyBorder="1"/>
    <xf numFmtId="3" fontId="1" fillId="0" borderId="27" xfId="0" applyNumberFormat="1" applyFont="1" applyBorder="1"/>
    <xf numFmtId="9" fontId="1" fillId="0" borderId="27" xfId="0" applyNumberFormat="1" applyFont="1" applyBorder="1" applyAlignment="1">
      <alignment horizontal="center"/>
    </xf>
    <xf numFmtId="3" fontId="1" fillId="0" borderId="34" xfId="0" applyNumberFormat="1" applyFont="1" applyBorder="1"/>
    <xf numFmtId="3" fontId="1" fillId="0" borderId="16" xfId="0" applyNumberFormat="1" applyFont="1" applyBorder="1"/>
    <xf numFmtId="164" fontId="1" fillId="0" borderId="16" xfId="0" applyNumberFormat="1" applyFont="1" applyBorder="1"/>
    <xf numFmtId="9" fontId="1" fillId="0" borderId="33" xfId="3" applyFont="1" applyBorder="1" applyAlignment="1">
      <alignment horizontal="center"/>
    </xf>
    <xf numFmtId="3" fontId="1" fillId="0" borderId="33" xfId="0" applyNumberFormat="1" applyFont="1" applyBorder="1"/>
    <xf numFmtId="3" fontId="1" fillId="2" borderId="32" xfId="0" applyNumberFormat="1" applyFont="1" applyFill="1" applyBorder="1" applyAlignment="1">
      <alignment horizontal="center" vertical="center" wrapText="1"/>
    </xf>
    <xf numFmtId="3" fontId="1" fillId="2" borderId="19" xfId="0" applyNumberFormat="1" applyFont="1" applyFill="1" applyBorder="1" applyAlignment="1">
      <alignment horizontal="center" vertical="center" wrapText="1"/>
    </xf>
    <xf numFmtId="0" fontId="1" fillId="0" borderId="21" xfId="0" applyFont="1" applyBorder="1"/>
    <xf numFmtId="0" fontId="1" fillId="3" borderId="21" xfId="0" applyFont="1" applyFill="1" applyBorder="1"/>
    <xf numFmtId="0" fontId="1" fillId="3" borderId="0" xfId="0" applyFont="1" applyFill="1"/>
    <xf numFmtId="0" fontId="1" fillId="2" borderId="19" xfId="0" applyFont="1" applyFill="1" applyBorder="1"/>
    <xf numFmtId="0" fontId="1" fillId="0" borderId="24" xfId="0" applyFont="1" applyBorder="1" applyAlignment="1">
      <alignment vertical="center"/>
    </xf>
    <xf numFmtId="166" fontId="1" fillId="0" borderId="24" xfId="2" applyNumberFormat="1" applyFont="1" applyFill="1" applyBorder="1" applyAlignment="1">
      <alignment vertical="center"/>
    </xf>
    <xf numFmtId="0" fontId="1" fillId="0" borderId="18" xfId="0" applyFont="1" applyBorder="1"/>
    <xf numFmtId="0" fontId="1" fillId="0" borderId="19" xfId="0" applyFont="1" applyBorder="1"/>
    <xf numFmtId="0" fontId="1" fillId="0" borderId="22" xfId="0" applyFont="1" applyBorder="1"/>
    <xf numFmtId="172" fontId="1" fillId="0" borderId="39" xfId="2" applyNumberFormat="1" applyFont="1" applyFill="1" applyBorder="1" applyAlignment="1">
      <alignment horizontal="right"/>
    </xf>
    <xf numFmtId="172" fontId="1" fillId="0" borderId="39" xfId="2" applyNumberFormat="1" applyFont="1" applyFill="1" applyBorder="1" applyAlignment="1"/>
    <xf numFmtId="172" fontId="1" fillId="3" borderId="39" xfId="2" applyNumberFormat="1" applyFont="1" applyFill="1" applyBorder="1" applyAlignment="1"/>
    <xf numFmtId="172" fontId="1" fillId="0" borderId="22" xfId="0" applyNumberFormat="1" applyFont="1" applyBorder="1" applyAlignment="1">
      <alignment horizontal="right" wrapText="1"/>
    </xf>
    <xf numFmtId="172" fontId="1" fillId="0" borderId="39" xfId="0" applyNumberFormat="1" applyFont="1" applyBorder="1" applyAlignment="1">
      <alignment horizontal="right" wrapText="1"/>
    </xf>
    <xf numFmtId="172" fontId="10" fillId="3" borderId="39" xfId="2" applyNumberFormat="1" applyFont="1" applyFill="1" applyBorder="1" applyAlignment="1"/>
    <xf numFmtId="166" fontId="1" fillId="0" borderId="28" xfId="2" applyNumberFormat="1" applyFont="1" applyFill="1" applyBorder="1" applyAlignment="1">
      <alignment vertical="center"/>
    </xf>
    <xf numFmtId="0" fontId="1" fillId="0" borderId="41" xfId="0" applyFont="1" applyBorder="1"/>
    <xf numFmtId="0" fontId="1" fillId="0" borderId="42" xfId="0" applyFont="1" applyBorder="1"/>
    <xf numFmtId="0" fontId="1" fillId="0" borderId="43" xfId="0" applyFont="1" applyBorder="1"/>
    <xf numFmtId="172" fontId="1" fillId="0" borderId="40" xfId="2" applyNumberFormat="1" applyFont="1" applyFill="1" applyBorder="1" applyAlignment="1"/>
    <xf numFmtId="172" fontId="1" fillId="0" borderId="40" xfId="0" applyNumberFormat="1" applyFont="1" applyBorder="1" applyAlignment="1">
      <alignment horizontal="right" wrapText="1"/>
    </xf>
    <xf numFmtId="172" fontId="10" fillId="3" borderId="43" xfId="2" applyNumberFormat="1" applyFont="1" applyFill="1" applyBorder="1" applyAlignment="1"/>
    <xf numFmtId="0" fontId="1" fillId="2" borderId="18" xfId="0" applyFont="1" applyFill="1" applyBorder="1" applyAlignment="1">
      <alignment vertical="center"/>
    </xf>
    <xf numFmtId="42" fontId="1" fillId="2" borderId="20" xfId="0" applyNumberFormat="1" applyFont="1" applyFill="1" applyBorder="1" applyAlignment="1">
      <alignment horizontal="center" vertical="center" wrapText="1"/>
    </xf>
    <xf numFmtId="0" fontId="1" fillId="0" borderId="23" xfId="0" applyFont="1" applyBorder="1" applyAlignment="1">
      <alignment vertical="center"/>
    </xf>
    <xf numFmtId="172" fontId="1" fillId="0" borderId="27" xfId="0" applyNumberFormat="1" applyFont="1" applyBorder="1" applyAlignment="1">
      <alignment vertical="center" wrapText="1"/>
    </xf>
    <xf numFmtId="172" fontId="1" fillId="0" borderId="27" xfId="0" applyNumberFormat="1" applyFont="1" applyBorder="1" applyAlignment="1">
      <alignment horizontal="right" vertical="center" wrapText="1"/>
    </xf>
    <xf numFmtId="172" fontId="1" fillId="0" borderId="28" xfId="0" applyNumberFormat="1" applyFont="1" applyBorder="1" applyAlignment="1">
      <alignment horizontal="right" vertical="center" wrapText="1"/>
    </xf>
    <xf numFmtId="172" fontId="1" fillId="0" borderId="28" xfId="0" applyNumberFormat="1" applyFont="1" applyBorder="1" applyAlignment="1">
      <alignment horizontal="right" wrapText="1"/>
    </xf>
    <xf numFmtId="0" fontId="1" fillId="2" borderId="19" xfId="0" applyFont="1" applyFill="1" applyBorder="1" applyAlignment="1">
      <alignment vertical="center"/>
    </xf>
    <xf numFmtId="0" fontId="1" fillId="2" borderId="20" xfId="0" applyFont="1" applyFill="1" applyBorder="1" applyAlignment="1">
      <alignment vertical="center"/>
    </xf>
    <xf numFmtId="166" fontId="1" fillId="2" borderId="19" xfId="2" applyNumberFormat="1" applyFont="1" applyFill="1" applyBorder="1" applyAlignment="1">
      <alignment horizontal="right"/>
    </xf>
    <xf numFmtId="166" fontId="1" fillId="2" borderId="19" xfId="2" applyNumberFormat="1" applyFont="1" applyFill="1" applyBorder="1"/>
    <xf numFmtId="42" fontId="1" fillId="2" borderId="19" xfId="0" applyNumberFormat="1" applyFont="1" applyFill="1" applyBorder="1" applyAlignment="1">
      <alignment horizontal="center" vertical="center" wrapText="1"/>
    </xf>
    <xf numFmtId="0" fontId="1" fillId="0" borderId="24" xfId="0" applyFont="1" applyBorder="1"/>
    <xf numFmtId="166" fontId="1" fillId="0" borderId="24" xfId="2" applyNumberFormat="1" applyFont="1" applyFill="1" applyBorder="1"/>
    <xf numFmtId="42" fontId="1" fillId="0" borderId="24" xfId="0" applyNumberFormat="1" applyFont="1" applyBorder="1" applyAlignment="1">
      <alignment wrapText="1"/>
    </xf>
    <xf numFmtId="42" fontId="1" fillId="0" borderId="28" xfId="0" applyNumberFormat="1" applyFont="1" applyBorder="1" applyAlignment="1">
      <alignment wrapText="1"/>
    </xf>
    <xf numFmtId="166" fontId="1" fillId="0" borderId="19" xfId="2" applyNumberFormat="1" applyFont="1" applyFill="1" applyBorder="1" applyAlignment="1">
      <alignment horizontal="right"/>
    </xf>
    <xf numFmtId="166" fontId="1" fillId="0" borderId="19" xfId="2" applyNumberFormat="1" applyFont="1" applyFill="1" applyBorder="1"/>
    <xf numFmtId="42" fontId="1" fillId="0" borderId="19" xfId="2" applyNumberFormat="1" applyFont="1" applyFill="1" applyBorder="1"/>
    <xf numFmtId="42" fontId="1" fillId="0" borderId="20" xfId="0" applyNumberFormat="1" applyFont="1" applyBorder="1" applyAlignment="1">
      <alignment wrapText="1"/>
    </xf>
    <xf numFmtId="172" fontId="1" fillId="0" borderId="20" xfId="0" applyNumberFormat="1" applyFont="1" applyBorder="1" applyAlignment="1">
      <alignment horizontal="right" wrapText="1"/>
    </xf>
    <xf numFmtId="0" fontId="1" fillId="0" borderId="23" xfId="0" applyFont="1" applyBorder="1"/>
    <xf numFmtId="166" fontId="1" fillId="0" borderId="42" xfId="2" applyNumberFormat="1" applyFont="1" applyFill="1" applyBorder="1" applyAlignment="1">
      <alignment horizontal="right"/>
    </xf>
    <xf numFmtId="166" fontId="1" fillId="0" borderId="42" xfId="2" applyNumberFormat="1" applyFont="1" applyFill="1" applyBorder="1"/>
    <xf numFmtId="42" fontId="1" fillId="0" borderId="42" xfId="2" applyNumberFormat="1" applyFont="1" applyFill="1" applyBorder="1"/>
    <xf numFmtId="42" fontId="1" fillId="0" borderId="43" xfId="0" applyNumberFormat="1" applyFont="1" applyBorder="1" applyAlignment="1">
      <alignment wrapText="1"/>
    </xf>
    <xf numFmtId="172" fontId="1" fillId="0" borderId="43" xfId="0" applyNumberFormat="1" applyFont="1" applyBorder="1" applyAlignment="1">
      <alignment horizontal="right" wrapText="1"/>
    </xf>
    <xf numFmtId="42" fontId="1" fillId="2" borderId="17" xfId="0" applyNumberFormat="1" applyFont="1" applyFill="1" applyBorder="1" applyAlignment="1">
      <alignment horizontal="center" vertical="center" wrapText="1"/>
    </xf>
    <xf numFmtId="42" fontId="1" fillId="2" borderId="31" xfId="0" applyNumberFormat="1" applyFont="1" applyFill="1" applyBorder="1" applyAlignment="1">
      <alignment horizontal="center" vertical="center" wrapText="1"/>
    </xf>
    <xf numFmtId="0" fontId="1" fillId="2" borderId="29" xfId="0" applyFont="1" applyFill="1" applyBorder="1" applyAlignment="1">
      <alignment vertical="center"/>
    </xf>
    <xf numFmtId="0" fontId="1" fillId="2" borderId="30" xfId="0" applyFont="1" applyFill="1" applyBorder="1" applyAlignment="1">
      <alignment vertical="center"/>
    </xf>
    <xf numFmtId="166" fontId="1" fillId="2" borderId="30" xfId="2" applyNumberFormat="1" applyFont="1" applyFill="1" applyBorder="1" applyAlignment="1">
      <alignment horizontal="right" vertical="center"/>
    </xf>
    <xf numFmtId="166" fontId="1" fillId="2" borderId="30" xfId="2" applyNumberFormat="1" applyFont="1" applyFill="1" applyBorder="1" applyAlignment="1">
      <alignment vertical="center"/>
    </xf>
    <xf numFmtId="164" fontId="1" fillId="2" borderId="30" xfId="0" applyNumberFormat="1" applyFont="1" applyFill="1" applyBorder="1" applyAlignment="1">
      <alignment vertical="center"/>
    </xf>
    <xf numFmtId="172" fontId="1" fillId="0" borderId="22" xfId="2" applyNumberFormat="1" applyFont="1" applyFill="1" applyBorder="1" applyAlignment="1"/>
    <xf numFmtId="166" fontId="1" fillId="2" borderId="31" xfId="2" applyNumberFormat="1" applyFont="1" applyFill="1" applyBorder="1" applyAlignment="1">
      <alignment horizontal="center" vertical="center"/>
    </xf>
    <xf numFmtId="167" fontId="1" fillId="0" borderId="22" xfId="2" applyNumberFormat="1" applyFont="1" applyFill="1" applyBorder="1" applyAlignment="1">
      <alignment horizontal="center"/>
    </xf>
    <xf numFmtId="166" fontId="1" fillId="0" borderId="22" xfId="2" applyNumberFormat="1" applyFont="1" applyFill="1" applyBorder="1"/>
    <xf numFmtId="172" fontId="1" fillId="0" borderId="28" xfId="2" applyNumberFormat="1" applyFont="1" applyFill="1" applyBorder="1" applyAlignment="1"/>
    <xf numFmtId="172" fontId="1" fillId="0" borderId="28" xfId="0" applyNumberFormat="1" applyFont="1" applyBorder="1" applyAlignment="1">
      <alignment vertical="center" wrapText="1"/>
    </xf>
    <xf numFmtId="172" fontId="10" fillId="0" borderId="28" xfId="0" applyNumberFormat="1" applyFont="1" applyBorder="1" applyAlignment="1">
      <alignment vertical="center" wrapText="1"/>
    </xf>
    <xf numFmtId="166" fontId="1" fillId="2" borderId="31" xfId="2" applyNumberFormat="1" applyFont="1" applyFill="1" applyBorder="1" applyAlignment="1">
      <alignment vertical="center"/>
    </xf>
    <xf numFmtId="164" fontId="2" fillId="0" borderId="22" xfId="0" applyNumberFormat="1" applyFont="1" applyBorder="1"/>
    <xf numFmtId="166" fontId="1" fillId="2" borderId="17" xfId="2" applyNumberFormat="1" applyFont="1" applyFill="1" applyBorder="1" applyAlignment="1">
      <alignment horizontal="center" vertical="center" wrapText="1"/>
    </xf>
    <xf numFmtId="164" fontId="2" fillId="0" borderId="28" xfId="0" applyNumberFormat="1" applyFont="1" applyBorder="1" applyAlignment="1">
      <alignment vertical="center"/>
    </xf>
    <xf numFmtId="164" fontId="2" fillId="0" borderId="43" xfId="0" applyNumberFormat="1" applyFont="1" applyBorder="1"/>
    <xf numFmtId="166" fontId="1" fillId="0" borderId="43" xfId="2" applyNumberFormat="1" applyFont="1" applyFill="1" applyBorder="1"/>
    <xf numFmtId="172" fontId="1" fillId="0" borderId="43" xfId="2" applyNumberFormat="1" applyFont="1" applyFill="1" applyBorder="1" applyAlignment="1"/>
    <xf numFmtId="0" fontId="1" fillId="0" borderId="34" xfId="0" applyFont="1" applyBorder="1"/>
    <xf numFmtId="0" fontId="1" fillId="0" borderId="16" xfId="0" applyFont="1" applyBorder="1"/>
    <xf numFmtId="166" fontId="1" fillId="0" borderId="16" xfId="2" applyNumberFormat="1" applyFont="1" applyFill="1" applyBorder="1" applyAlignment="1">
      <alignment horizontal="right"/>
    </xf>
    <xf numFmtId="166" fontId="1" fillId="0" borderId="16" xfId="2" applyNumberFormat="1" applyFont="1" applyFill="1" applyBorder="1"/>
    <xf numFmtId="42" fontId="1" fillId="0" borderId="16" xfId="2" applyNumberFormat="1" applyFont="1" applyFill="1" applyBorder="1"/>
    <xf numFmtId="42" fontId="1" fillId="0" borderId="45" xfId="0" applyNumberFormat="1" applyFont="1" applyBorder="1" applyAlignment="1">
      <alignment wrapText="1"/>
    </xf>
    <xf numFmtId="172" fontId="1" fillId="0" borderId="45" xfId="0" applyNumberFormat="1" applyFont="1" applyBorder="1" applyAlignment="1">
      <alignment horizontal="right" wrapText="1"/>
    </xf>
    <xf numFmtId="0" fontId="1" fillId="0" borderId="21" xfId="0" applyFont="1" applyBorder="1" applyAlignment="1">
      <alignment horizontal="left"/>
    </xf>
    <xf numFmtId="0" fontId="1" fillId="0" borderId="0" xfId="0" applyFont="1" applyAlignment="1">
      <alignment horizontal="left"/>
    </xf>
    <xf numFmtId="0" fontId="1" fillId="0" borderId="0" xfId="0" applyFont="1" applyAlignment="1">
      <alignment horizontal="right"/>
    </xf>
    <xf numFmtId="164" fontId="1" fillId="0" borderId="22" xfId="0" applyNumberFormat="1" applyFont="1" applyBorder="1"/>
    <xf numFmtId="0" fontId="1" fillId="0" borderId="22" xfId="0" applyFont="1" applyBorder="1" applyAlignment="1">
      <alignment horizontal="left"/>
    </xf>
    <xf numFmtId="172" fontId="10" fillId="0" borderId="22" xfId="2" applyNumberFormat="1" applyFont="1" applyFill="1" applyBorder="1" applyAlignment="1"/>
    <xf numFmtId="42" fontId="1" fillId="0" borderId="24" xfId="0" applyNumberFormat="1" applyFont="1" applyBorder="1" applyAlignment="1">
      <alignment vertical="center" wrapText="1"/>
    </xf>
    <xf numFmtId="42" fontId="1" fillId="0" borderId="28" xfId="0" applyNumberFormat="1" applyFont="1" applyBorder="1" applyAlignment="1">
      <alignment vertical="center" wrapText="1"/>
    </xf>
    <xf numFmtId="164" fontId="1" fillId="0" borderId="0" xfId="0" applyNumberFormat="1" applyFont="1" applyAlignment="1">
      <alignment horizontal="right"/>
    </xf>
    <xf numFmtId="0" fontId="1" fillId="0" borderId="23" xfId="0" applyFont="1" applyBorder="1" applyAlignment="1">
      <alignment horizontal="left" vertical="center"/>
    </xf>
    <xf numFmtId="42" fontId="1" fillId="0" borderId="0" xfId="0" applyNumberFormat="1" applyFont="1" applyAlignment="1">
      <alignment horizontal="right" vertical="center"/>
    </xf>
    <xf numFmtId="168" fontId="1" fillId="0" borderId="39" xfId="2" applyNumberFormat="1" applyFont="1" applyFill="1" applyBorder="1" applyAlignment="1"/>
    <xf numFmtId="168" fontId="1" fillId="0" borderId="27" xfId="2" applyNumberFormat="1" applyFont="1" applyFill="1" applyBorder="1" applyAlignment="1"/>
    <xf numFmtId="14" fontId="1" fillId="0" borderId="20" xfId="0" applyNumberFormat="1" applyFont="1" applyBorder="1" applyAlignment="1">
      <alignment horizontal="right"/>
    </xf>
    <xf numFmtId="164" fontId="1" fillId="0" borderId="28" xfId="0" applyNumberFormat="1" applyFont="1" applyBorder="1" applyAlignment="1">
      <alignment horizontal="right" vertical="center"/>
    </xf>
    <xf numFmtId="14" fontId="1" fillId="0" borderId="43" xfId="0" applyNumberFormat="1" applyFont="1" applyBorder="1" applyAlignment="1">
      <alignment horizontal="right"/>
    </xf>
    <xf numFmtId="168" fontId="1" fillId="0" borderId="40" xfId="2" applyNumberFormat="1" applyFont="1" applyFill="1" applyBorder="1" applyAlignment="1"/>
    <xf numFmtId="172" fontId="10" fillId="0" borderId="17" xfId="0" applyNumberFormat="1" applyFont="1" applyBorder="1" applyAlignment="1">
      <alignment vertical="center" wrapText="1"/>
    </xf>
    <xf numFmtId="17" fontId="1" fillId="0" borderId="21" xfId="0" applyNumberFormat="1" applyFont="1" applyBorder="1"/>
    <xf numFmtId="14" fontId="1" fillId="0" borderId="20" xfId="0" applyNumberFormat="1" applyFont="1" applyBorder="1"/>
    <xf numFmtId="14" fontId="1" fillId="0" borderId="28" xfId="0" applyNumberFormat="1" applyFont="1" applyBorder="1"/>
    <xf numFmtId="164" fontId="1" fillId="0" borderId="28" xfId="0" applyNumberFormat="1" applyFont="1" applyBorder="1" applyAlignment="1">
      <alignment vertical="center"/>
    </xf>
    <xf numFmtId="3" fontId="1" fillId="2" borderId="31" xfId="0" applyNumberFormat="1" applyFont="1" applyFill="1" applyBorder="1" applyAlignment="1">
      <alignment horizontal="center" vertical="center" wrapText="1"/>
    </xf>
    <xf numFmtId="3" fontId="1" fillId="2" borderId="22" xfId="0" applyNumberFormat="1" applyFont="1" applyFill="1" applyBorder="1" applyAlignment="1">
      <alignment horizontal="center" vertical="center" wrapText="1"/>
    </xf>
    <xf numFmtId="3" fontId="1" fillId="2" borderId="17" xfId="0" applyNumberFormat="1" applyFont="1" applyFill="1" applyBorder="1" applyAlignment="1">
      <alignment horizontal="center" vertical="center" wrapText="1"/>
    </xf>
    <xf numFmtId="165" fontId="1" fillId="2" borderId="20" xfId="0" applyNumberFormat="1" applyFont="1" applyFill="1" applyBorder="1" applyAlignment="1">
      <alignment horizontal="center" vertical="center" wrapText="1"/>
    </xf>
    <xf numFmtId="165" fontId="1" fillId="2" borderId="17" xfId="0" applyNumberFormat="1" applyFont="1" applyFill="1" applyBorder="1" applyAlignment="1">
      <alignment horizontal="center" vertical="center" wrapText="1"/>
    </xf>
    <xf numFmtId="3" fontId="1" fillId="2" borderId="28" xfId="0" applyNumberFormat="1" applyFont="1" applyFill="1" applyBorder="1" applyAlignment="1">
      <alignment horizontal="center" vertical="center" wrapText="1"/>
    </xf>
    <xf numFmtId="4" fontId="1" fillId="0" borderId="0" xfId="10" applyNumberFormat="1"/>
    <xf numFmtId="0" fontId="1" fillId="0" borderId="0" xfId="10" applyAlignment="1">
      <alignment vertical="center"/>
    </xf>
    <xf numFmtId="0" fontId="1" fillId="2" borderId="29" xfId="10" applyFill="1" applyBorder="1" applyAlignment="1">
      <alignment vertical="center"/>
    </xf>
    <xf numFmtId="0" fontId="1" fillId="2" borderId="30" xfId="10" applyFill="1" applyBorder="1" applyAlignment="1">
      <alignment vertical="center"/>
    </xf>
    <xf numFmtId="42" fontId="1" fillId="2" borderId="31" xfId="9" applyFont="1" applyFill="1" applyBorder="1" applyAlignment="1">
      <alignment vertical="center"/>
    </xf>
    <xf numFmtId="0" fontId="9" fillId="0" borderId="0" xfId="10" applyFont="1" applyAlignment="1">
      <alignment vertical="center"/>
    </xf>
    <xf numFmtId="3" fontId="9" fillId="0" borderId="0" xfId="10" applyNumberFormat="1" applyFont="1" applyAlignment="1">
      <alignment vertical="center"/>
    </xf>
    <xf numFmtId="0" fontId="1" fillId="0" borderId="29" xfId="10" applyBorder="1" applyAlignment="1">
      <alignment vertical="center"/>
    </xf>
    <xf numFmtId="0" fontId="1" fillId="0" borderId="30" xfId="10" applyBorder="1" applyAlignment="1">
      <alignment vertical="center"/>
    </xf>
    <xf numFmtId="3" fontId="1" fillId="0" borderId="31" xfId="10" applyNumberFormat="1" applyBorder="1" applyAlignment="1">
      <alignment vertical="center"/>
    </xf>
    <xf numFmtId="42" fontId="1" fillId="0" borderId="31" xfId="9" applyFont="1" applyBorder="1" applyAlignment="1">
      <alignment vertical="center"/>
    </xf>
    <xf numFmtId="0" fontId="2" fillId="0" borderId="0" xfId="10" applyFont="1" applyAlignment="1">
      <alignment vertical="center"/>
    </xf>
    <xf numFmtId="3" fontId="2" fillId="0" borderId="0" xfId="10" applyNumberFormat="1" applyFont="1" applyAlignment="1">
      <alignment vertical="center"/>
    </xf>
    <xf numFmtId="0" fontId="1" fillId="0" borderId="21" xfId="10" applyBorder="1" applyAlignment="1">
      <alignment vertical="center"/>
    </xf>
    <xf numFmtId="3" fontId="1" fillId="0" borderId="0" xfId="10" applyNumberFormat="1" applyAlignment="1">
      <alignment vertical="center"/>
    </xf>
    <xf numFmtId="42" fontId="1" fillId="0" borderId="20" xfId="9" applyFont="1" applyBorder="1" applyAlignment="1">
      <alignment vertical="center"/>
    </xf>
    <xf numFmtId="42" fontId="1" fillId="0" borderId="22" xfId="9" applyFont="1" applyBorder="1" applyAlignment="1">
      <alignment vertical="center"/>
    </xf>
    <xf numFmtId="0" fontId="1" fillId="0" borderId="23" xfId="10" applyBorder="1" applyAlignment="1">
      <alignment vertical="center"/>
    </xf>
    <xf numFmtId="0" fontId="1" fillId="0" borderId="24" xfId="10" applyBorder="1" applyAlignment="1">
      <alignment vertical="center"/>
    </xf>
    <xf numFmtId="42" fontId="1" fillId="0" borderId="28" xfId="9" applyFont="1" applyBorder="1" applyAlignment="1">
      <alignment vertical="center"/>
    </xf>
    <xf numFmtId="42" fontId="1" fillId="0" borderId="0" xfId="9" applyFont="1" applyAlignment="1">
      <alignment vertical="center"/>
    </xf>
    <xf numFmtId="41" fontId="1" fillId="0" borderId="0" xfId="8" applyFont="1" applyAlignment="1">
      <alignment vertical="center"/>
    </xf>
    <xf numFmtId="42" fontId="1" fillId="0" borderId="0" xfId="9" applyFont="1" applyBorder="1" applyAlignment="1">
      <alignment vertical="center"/>
    </xf>
    <xf numFmtId="3" fontId="1" fillId="0" borderId="22" xfId="10" applyNumberFormat="1" applyBorder="1" applyAlignment="1">
      <alignment vertical="center"/>
    </xf>
    <xf numFmtId="42" fontId="1" fillId="0" borderId="0" xfId="10" applyNumberFormat="1" applyAlignment="1">
      <alignment vertical="center"/>
    </xf>
    <xf numFmtId="41" fontId="2" fillId="0" borderId="0" xfId="8" applyFont="1" applyAlignment="1">
      <alignment vertical="center"/>
    </xf>
    <xf numFmtId="3" fontId="1" fillId="0" borderId="24" xfId="10" applyNumberFormat="1" applyBorder="1" applyAlignment="1">
      <alignment vertical="center"/>
    </xf>
    <xf numFmtId="42" fontId="1" fillId="0" borderId="30" xfId="9" applyFont="1" applyBorder="1" applyAlignment="1">
      <alignment vertical="center"/>
    </xf>
    <xf numFmtId="3" fontId="1" fillId="0" borderId="31" xfId="10" applyNumberFormat="1" applyBorder="1" applyAlignment="1">
      <alignment horizontal="center" vertical="center"/>
    </xf>
    <xf numFmtId="42" fontId="1" fillId="0" borderId="24" xfId="9" applyFont="1" applyBorder="1" applyAlignment="1">
      <alignment vertical="center"/>
    </xf>
    <xf numFmtId="3" fontId="1" fillId="0" borderId="28" xfId="10" applyNumberFormat="1" applyBorder="1" applyAlignment="1">
      <alignment vertical="center"/>
    </xf>
    <xf numFmtId="3" fontId="1" fillId="2" borderId="30" xfId="10" applyNumberFormat="1" applyFill="1" applyBorder="1" applyAlignment="1">
      <alignment vertical="center"/>
    </xf>
    <xf numFmtId="9" fontId="1" fillId="0" borderId="20" xfId="10" applyNumberFormat="1" applyBorder="1" applyAlignment="1">
      <alignment horizontal="center" vertical="center"/>
    </xf>
    <xf numFmtId="0" fontId="1" fillId="0" borderId="28" xfId="10" applyBorder="1" applyAlignment="1">
      <alignment vertical="center"/>
    </xf>
    <xf numFmtId="0" fontId="1" fillId="0" borderId="22" xfId="10" applyBorder="1" applyAlignment="1">
      <alignment vertical="center"/>
    </xf>
    <xf numFmtId="178" fontId="1" fillId="0" borderId="22" xfId="9" applyNumberFormat="1" applyFont="1" applyBorder="1" applyAlignment="1">
      <alignment vertical="center"/>
    </xf>
    <xf numFmtId="178" fontId="1" fillId="0" borderId="28" xfId="9" applyNumberFormat="1" applyFont="1" applyBorder="1" applyAlignment="1">
      <alignment vertical="center"/>
    </xf>
    <xf numFmtId="164" fontId="2" fillId="0" borderId="0" xfId="0" applyNumberFormat="1" applyFont="1" applyAlignment="1">
      <alignment horizontal="right"/>
    </xf>
    <xf numFmtId="164" fontId="2" fillId="0" borderId="0" xfId="0" applyNumberFormat="1" applyFont="1" applyAlignment="1">
      <alignment horizontal="right" vertical="center"/>
    </xf>
    <xf numFmtId="164" fontId="10" fillId="0" borderId="0" xfId="0" applyNumberFormat="1" applyFont="1" applyAlignment="1">
      <alignment horizontal="right" vertical="center"/>
    </xf>
    <xf numFmtId="164" fontId="0" fillId="0" borderId="0" xfId="0" applyNumberFormat="1" applyAlignment="1">
      <alignment horizontal="center"/>
    </xf>
    <xf numFmtId="0" fontId="1" fillId="3" borderId="0" xfId="0" applyFont="1" applyFill="1" applyAlignment="1">
      <alignment horizontal="left" vertical="center" wrapText="1"/>
    </xf>
    <xf numFmtId="164" fontId="1" fillId="0" borderId="22" xfId="0" applyNumberFormat="1" applyFont="1" applyBorder="1" applyAlignment="1">
      <alignment horizontal="right" wrapText="1"/>
    </xf>
    <xf numFmtId="164" fontId="10" fillId="0" borderId="22" xfId="0" applyNumberFormat="1" applyFont="1" applyBorder="1" applyAlignment="1">
      <alignment vertical="center"/>
    </xf>
    <xf numFmtId="0" fontId="1" fillId="3" borderId="22" xfId="0" applyFont="1" applyFill="1" applyBorder="1" applyAlignment="1">
      <alignment horizontal="left" vertical="center" wrapText="1"/>
    </xf>
    <xf numFmtId="166" fontId="1" fillId="3" borderId="22" xfId="2" applyNumberFormat="1" applyFont="1" applyFill="1" applyBorder="1"/>
    <xf numFmtId="164" fontId="1" fillId="0" borderId="24" xfId="0" applyNumberFormat="1" applyFont="1" applyBorder="1" applyAlignment="1">
      <alignment horizontal="center"/>
    </xf>
    <xf numFmtId="164" fontId="1" fillId="0" borderId="32" xfId="0" applyNumberFormat="1" applyFont="1" applyBorder="1" applyAlignment="1">
      <alignment horizontal="center"/>
    </xf>
    <xf numFmtId="164" fontId="1" fillId="0" borderId="39" xfId="0" applyNumberFormat="1" applyFont="1" applyBorder="1" applyAlignment="1">
      <alignment horizontal="center"/>
    </xf>
    <xf numFmtId="164" fontId="1" fillId="0" borderId="27" xfId="0" applyNumberFormat="1" applyFont="1" applyBorder="1" applyAlignment="1">
      <alignment horizontal="center"/>
    </xf>
    <xf numFmtId="0" fontId="1" fillId="2" borderId="30" xfId="0" applyFont="1" applyFill="1" applyBorder="1"/>
    <xf numFmtId="0" fontId="1" fillId="2" borderId="31" xfId="0" applyFont="1" applyFill="1" applyBorder="1"/>
    <xf numFmtId="164" fontId="10" fillId="0" borderId="22" xfId="0" applyNumberFormat="1" applyFont="1" applyBorder="1"/>
    <xf numFmtId="164" fontId="1" fillId="2" borderId="24" xfId="0" applyNumberFormat="1" applyFont="1" applyFill="1" applyBorder="1"/>
    <xf numFmtId="164" fontId="1" fillId="0" borderId="39" xfId="0" applyNumberFormat="1" applyFont="1" applyBorder="1"/>
    <xf numFmtId="164" fontId="10" fillId="0" borderId="22" xfId="0" applyNumberFormat="1" applyFont="1" applyBorder="1" applyAlignment="1">
      <alignment horizontal="right" wrapText="1"/>
    </xf>
    <xf numFmtId="0" fontId="1" fillId="2" borderId="24" xfId="0" applyFont="1" applyFill="1" applyBorder="1"/>
    <xf numFmtId="0" fontId="1" fillId="2" borderId="28" xfId="0" applyFont="1" applyFill="1" applyBorder="1"/>
    <xf numFmtId="166" fontId="1" fillId="3" borderId="20" xfId="2" applyNumberFormat="1" applyFont="1" applyFill="1" applyBorder="1"/>
    <xf numFmtId="166" fontId="1" fillId="3" borderId="28" xfId="2" applyNumberFormat="1" applyFont="1" applyFill="1" applyBorder="1"/>
    <xf numFmtId="164" fontId="1" fillId="0" borderId="31" xfId="0" applyNumberFormat="1" applyFont="1" applyBorder="1"/>
    <xf numFmtId="0" fontId="10" fillId="3" borderId="23" xfId="0" applyFont="1" applyFill="1" applyBorder="1"/>
    <xf numFmtId="164" fontId="1" fillId="3" borderId="24" xfId="0" applyNumberFormat="1" applyFont="1" applyFill="1" applyBorder="1"/>
    <xf numFmtId="164" fontId="1" fillId="2" borderId="16" xfId="0" applyNumberFormat="1" applyFont="1" applyFill="1" applyBorder="1"/>
    <xf numFmtId="164" fontId="1" fillId="2" borderId="45" xfId="0" applyNumberFormat="1" applyFont="1" applyFill="1" applyBorder="1"/>
    <xf numFmtId="164" fontId="1" fillId="0" borderId="40" xfId="0" applyNumberFormat="1" applyFont="1" applyBorder="1" applyAlignment="1">
      <alignment horizontal="center"/>
    </xf>
    <xf numFmtId="164" fontId="1" fillId="0" borderId="39" xfId="0" applyNumberFormat="1" applyFont="1" applyBorder="1" applyAlignment="1">
      <alignment horizontal="right" wrapText="1"/>
    </xf>
    <xf numFmtId="42" fontId="10" fillId="0" borderId="17" xfId="0" applyNumberFormat="1" applyFont="1" applyBorder="1" applyAlignment="1">
      <alignment horizontal="right" wrapText="1"/>
    </xf>
    <xf numFmtId="164" fontId="10" fillId="0" borderId="20" xfId="0" applyNumberFormat="1" applyFont="1" applyBorder="1" applyAlignment="1">
      <alignment horizontal="right" wrapText="1"/>
    </xf>
    <xf numFmtId="164" fontId="1" fillId="2" borderId="51" xfId="0" applyNumberFormat="1" applyFont="1" applyFill="1" applyBorder="1"/>
    <xf numFmtId="164" fontId="1" fillId="0" borderId="29" xfId="0" applyNumberFormat="1" applyFont="1" applyBorder="1" applyAlignment="1">
      <alignment horizontal="center"/>
    </xf>
    <xf numFmtId="164" fontId="1" fillId="3" borderId="30" xfId="0" applyNumberFormat="1" applyFont="1" applyFill="1" applyBorder="1"/>
    <xf numFmtId="0" fontId="1" fillId="0" borderId="21" xfId="0" applyFont="1" applyBorder="1" applyAlignment="1">
      <alignment horizontal="left" vertical="center"/>
    </xf>
    <xf numFmtId="0" fontId="1" fillId="2" borderId="23" xfId="0" applyFont="1" applyFill="1" applyBorder="1"/>
    <xf numFmtId="42" fontId="1" fillId="2" borderId="28" xfId="0" applyNumberFormat="1" applyFont="1" applyFill="1" applyBorder="1" applyAlignment="1">
      <alignment horizontal="center" vertical="center" wrapText="1"/>
    </xf>
    <xf numFmtId="9" fontId="1" fillId="0" borderId="0" xfId="3" applyFont="1" applyFill="1" applyBorder="1"/>
    <xf numFmtId="0" fontId="1" fillId="2" borderId="29" xfId="0" applyFont="1" applyFill="1" applyBorder="1"/>
    <xf numFmtId="0" fontId="1" fillId="3" borderId="21" xfId="0" applyFont="1" applyFill="1" applyBorder="1" applyAlignment="1">
      <alignment vertical="center"/>
    </xf>
    <xf numFmtId="0" fontId="1" fillId="2" borderId="34" xfId="0" applyFont="1" applyFill="1" applyBorder="1"/>
    <xf numFmtId="0" fontId="1" fillId="0" borderId="29" xfId="0" applyFont="1" applyBorder="1"/>
    <xf numFmtId="0" fontId="1" fillId="0" borderId="30" xfId="0" applyFont="1" applyBorder="1"/>
    <xf numFmtId="0" fontId="1" fillId="0" borderId="31" xfId="0" applyFont="1" applyBorder="1"/>
    <xf numFmtId="164" fontId="1" fillId="0" borderId="17" xfId="0" applyNumberFormat="1" applyFont="1" applyBorder="1" applyAlignment="1">
      <alignment horizontal="right" wrapText="1"/>
    </xf>
    <xf numFmtId="164" fontId="10" fillId="0" borderId="39" xfId="0" applyNumberFormat="1" applyFont="1" applyBorder="1"/>
    <xf numFmtId="0" fontId="10" fillId="0" borderId="16" xfId="0" applyFont="1" applyBorder="1"/>
    <xf numFmtId="0" fontId="1" fillId="0" borderId="45" xfId="0" applyFont="1" applyBorder="1"/>
    <xf numFmtId="164" fontId="1" fillId="0" borderId="33" xfId="0" applyNumberFormat="1" applyFont="1" applyBorder="1" applyAlignment="1">
      <alignment horizontal="right" wrapText="1"/>
    </xf>
    <xf numFmtId="42" fontId="1" fillId="2" borderId="52" xfId="0" applyNumberFormat="1" applyFont="1" applyFill="1" applyBorder="1" applyAlignment="1">
      <alignment horizontal="right" wrapText="1"/>
    </xf>
    <xf numFmtId="164" fontId="1" fillId="2" borderId="45" xfId="0" applyNumberFormat="1" applyFont="1" applyFill="1" applyBorder="1" applyAlignment="1">
      <alignment horizontal="right" wrapText="1"/>
    </xf>
    <xf numFmtId="42" fontId="1" fillId="2" borderId="33" xfId="0" applyNumberFormat="1" applyFont="1" applyFill="1" applyBorder="1" applyAlignment="1">
      <alignment horizontal="right" wrapText="1"/>
    </xf>
    <xf numFmtId="164" fontId="0" fillId="0" borderId="24" xfId="0" applyNumberFormat="1" applyBorder="1"/>
    <xf numFmtId="0" fontId="10" fillId="0" borderId="34" xfId="0" applyFont="1" applyBorder="1" applyAlignment="1">
      <alignment horizontal="left"/>
    </xf>
    <xf numFmtId="164" fontId="0" fillId="0" borderId="16" xfId="0" applyNumberFormat="1" applyBorder="1"/>
    <xf numFmtId="0" fontId="1" fillId="0" borderId="16" xfId="0" applyFont="1" applyBorder="1" applyAlignment="1">
      <alignment horizontal="left" vertical="center"/>
    </xf>
    <xf numFmtId="164" fontId="1" fillId="0" borderId="45" xfId="0" applyNumberFormat="1" applyFont="1" applyBorder="1"/>
    <xf numFmtId="164" fontId="10" fillId="0" borderId="45" xfId="0" applyNumberFormat="1" applyFont="1" applyBorder="1" applyAlignment="1">
      <alignment horizontal="right" wrapText="1"/>
    </xf>
    <xf numFmtId="42" fontId="1" fillId="3" borderId="17" xfId="0" applyNumberFormat="1" applyFont="1" applyFill="1" applyBorder="1" applyAlignment="1">
      <alignment horizontal="right" wrapText="1"/>
    </xf>
    <xf numFmtId="0" fontId="10" fillId="0" borderId="27" xfId="0" applyFont="1" applyBorder="1"/>
    <xf numFmtId="42" fontId="10" fillId="0" borderId="27" xfId="0" applyNumberFormat="1" applyFont="1" applyBorder="1" applyAlignment="1">
      <alignment horizontal="right" wrapText="1"/>
    </xf>
    <xf numFmtId="164" fontId="1" fillId="0" borderId="33" xfId="0" applyNumberFormat="1" applyFont="1" applyBorder="1" applyAlignment="1">
      <alignment horizontal="center"/>
    </xf>
    <xf numFmtId="0" fontId="1" fillId="0" borderId="33" xfId="0" applyFont="1" applyBorder="1"/>
    <xf numFmtId="179" fontId="1" fillId="2" borderId="22" xfId="0" applyNumberFormat="1" applyFont="1" applyFill="1" applyBorder="1" applyAlignment="1">
      <alignment horizontal="right" wrapText="1"/>
    </xf>
    <xf numFmtId="179" fontId="1" fillId="0" borderId="33" xfId="0" applyNumberFormat="1" applyFont="1" applyBorder="1" applyAlignment="1">
      <alignment horizontal="right" wrapText="1"/>
    </xf>
    <xf numFmtId="0" fontId="1" fillId="0" borderId="24" xfId="0" applyFont="1" applyBorder="1" applyAlignment="1">
      <alignment horizontal="left" vertical="center"/>
    </xf>
    <xf numFmtId="164" fontId="1" fillId="0" borderId="28" xfId="0" applyNumberFormat="1" applyFont="1" applyBorder="1"/>
    <xf numFmtId="3" fontId="1" fillId="0" borderId="22" xfId="0" applyNumberFormat="1" applyFont="1" applyBorder="1" applyAlignment="1">
      <alignment horizontal="center"/>
    </xf>
    <xf numFmtId="164" fontId="1" fillId="0" borderId="28" xfId="0" applyNumberFormat="1" applyFont="1" applyBorder="1" applyAlignment="1">
      <alignment horizontal="right" wrapText="1"/>
    </xf>
    <xf numFmtId="3" fontId="1" fillId="0" borderId="24" xfId="0" applyNumberFormat="1" applyFont="1" applyBorder="1" applyAlignment="1">
      <alignment vertical="center"/>
    </xf>
    <xf numFmtId="164" fontId="1" fillId="0" borderId="28" xfId="0" applyNumberFormat="1" applyFont="1" applyBorder="1" applyAlignment="1">
      <alignment horizontal="right" vertical="center" wrapText="1"/>
    </xf>
    <xf numFmtId="0" fontId="1" fillId="0" borderId="41" xfId="0" applyFont="1" applyBorder="1" applyAlignment="1">
      <alignment horizontal="left" vertical="center"/>
    </xf>
    <xf numFmtId="0" fontId="1" fillId="0" borderId="42" xfId="0" applyFont="1" applyBorder="1" applyAlignment="1">
      <alignment horizontal="left" vertical="center"/>
    </xf>
    <xf numFmtId="164" fontId="10" fillId="0" borderId="40" xfId="0" applyNumberFormat="1" applyFont="1" applyBorder="1"/>
    <xf numFmtId="164" fontId="1" fillId="0" borderId="21" xfId="0" applyNumberFormat="1" applyFont="1" applyBorder="1"/>
    <xf numFmtId="3" fontId="1" fillId="0" borderId="21" xfId="0" applyNumberFormat="1" applyFont="1" applyBorder="1"/>
    <xf numFmtId="14" fontId="1" fillId="0" borderId="0" xfId="0" applyNumberFormat="1" applyFont="1"/>
    <xf numFmtId="3" fontId="1" fillId="0" borderId="30" xfId="0" applyNumberFormat="1" applyFont="1" applyBorder="1" applyAlignment="1">
      <alignment vertical="center"/>
    </xf>
    <xf numFmtId="165" fontId="1" fillId="2" borderId="32" xfId="0" applyNumberFormat="1" applyFont="1" applyFill="1" applyBorder="1" applyAlignment="1">
      <alignment horizontal="center" vertical="center" wrapText="1"/>
    </xf>
    <xf numFmtId="3" fontId="1" fillId="2" borderId="27" xfId="0" applyNumberFormat="1" applyFont="1" applyFill="1" applyBorder="1" applyAlignment="1">
      <alignment horizontal="center" vertical="center" wrapText="1"/>
    </xf>
    <xf numFmtId="3" fontId="1" fillId="0" borderId="31" xfId="0" applyNumberFormat="1" applyFont="1" applyBorder="1"/>
    <xf numFmtId="3" fontId="1" fillId="0" borderId="29" xfId="0" applyNumberFormat="1" applyFont="1" applyBorder="1" applyAlignment="1">
      <alignment vertical="center"/>
    </xf>
    <xf numFmtId="3" fontId="1" fillId="0" borderId="17" xfId="0" applyNumberFormat="1" applyFont="1" applyBorder="1" applyAlignment="1">
      <alignment vertical="center"/>
    </xf>
    <xf numFmtId="3" fontId="1" fillId="0" borderId="31" xfId="0" applyNumberFormat="1" applyFont="1" applyBorder="1" applyAlignment="1">
      <alignment vertical="center"/>
    </xf>
    <xf numFmtId="164" fontId="21" fillId="0" borderId="0" xfId="0" applyNumberFormat="1" applyFont="1" applyAlignment="1">
      <alignment vertical="center"/>
    </xf>
    <xf numFmtId="164" fontId="1" fillId="0" borderId="23" xfId="0" applyNumberFormat="1" applyFont="1" applyBorder="1" applyAlignment="1">
      <alignment vertical="center"/>
    </xf>
    <xf numFmtId="164" fontId="1" fillId="0" borderId="24" xfId="0" applyNumberFormat="1" applyFont="1" applyBorder="1" applyAlignment="1">
      <alignment vertical="center"/>
    </xf>
    <xf numFmtId="164" fontId="1" fillId="0" borderId="27" xfId="0" applyNumberFormat="1" applyFont="1" applyBorder="1" applyAlignment="1">
      <alignment vertical="center"/>
    </xf>
    <xf numFmtId="164" fontId="10" fillId="0" borderId="28" xfId="0" applyNumberFormat="1" applyFont="1" applyBorder="1" applyAlignment="1">
      <alignment vertical="center"/>
    </xf>
    <xf numFmtId="164" fontId="1" fillId="0" borderId="22" xfId="0" applyNumberFormat="1" applyFont="1" applyBorder="1" applyAlignment="1">
      <alignment vertical="center"/>
    </xf>
    <xf numFmtId="164" fontId="1" fillId="0" borderId="21" xfId="0" applyNumberFormat="1" applyFont="1" applyBorder="1" applyAlignment="1">
      <alignment vertical="center"/>
    </xf>
    <xf numFmtId="14" fontId="1" fillId="0" borderId="0" xfId="0" applyNumberFormat="1" applyFont="1" applyAlignment="1">
      <alignment vertical="center"/>
    </xf>
    <xf numFmtId="164" fontId="1" fillId="0" borderId="39" xfId="0" applyNumberFormat="1" applyFont="1" applyBorder="1" applyAlignment="1">
      <alignment vertical="center"/>
    </xf>
    <xf numFmtId="164" fontId="21" fillId="0" borderId="0" xfId="0" applyNumberFormat="1" applyFont="1" applyAlignment="1">
      <alignment vertical="top"/>
    </xf>
    <xf numFmtId="164" fontId="1" fillId="0" borderId="22" xfId="0" applyNumberFormat="1" applyFont="1" applyBorder="1" applyAlignment="1">
      <alignment vertical="top"/>
    </xf>
    <xf numFmtId="164" fontId="1" fillId="0" borderId="39" xfId="0" applyNumberFormat="1" applyFont="1" applyBorder="1" applyAlignment="1">
      <alignment vertical="top"/>
    </xf>
    <xf numFmtId="164" fontId="35" fillId="0" borderId="21" xfId="0" applyNumberFormat="1" applyFont="1" applyBorder="1" applyAlignment="1">
      <alignment horizontal="right" vertical="top"/>
    </xf>
    <xf numFmtId="164" fontId="35" fillId="0" borderId="0" xfId="0" applyNumberFormat="1" applyFont="1" applyAlignment="1">
      <alignment vertical="top"/>
    </xf>
    <xf numFmtId="14" fontId="35" fillId="0" borderId="0" xfId="0" applyNumberFormat="1" applyFont="1" applyAlignment="1">
      <alignment vertical="top"/>
    </xf>
    <xf numFmtId="164" fontId="35" fillId="0" borderId="22" xfId="0" applyNumberFormat="1" applyFont="1" applyBorder="1" applyAlignment="1">
      <alignment vertical="top"/>
    </xf>
    <xf numFmtId="164" fontId="35" fillId="0" borderId="21" xfId="0" applyNumberFormat="1" applyFont="1" applyBorder="1" applyAlignment="1">
      <alignment vertical="top"/>
    </xf>
    <xf numFmtId="164" fontId="35" fillId="0" borderId="22" xfId="0" applyNumberFormat="1" applyFont="1" applyBorder="1"/>
    <xf numFmtId="3" fontId="1" fillId="0" borderId="0" xfId="0" applyNumberFormat="1" applyFont="1" applyAlignment="1">
      <alignment horizontal="left" vertical="center"/>
    </xf>
    <xf numFmtId="164" fontId="1" fillId="0" borderId="20" xfId="0" applyNumberFormat="1" applyFont="1" applyBorder="1"/>
    <xf numFmtId="3" fontId="1" fillId="0" borderId="42" xfId="0" applyNumberFormat="1" applyFont="1" applyBorder="1"/>
    <xf numFmtId="164" fontId="1" fillId="0" borderId="43" xfId="0" applyNumberFormat="1" applyFont="1" applyBorder="1"/>
    <xf numFmtId="0" fontId="1" fillId="0" borderId="17" xfId="0" applyFont="1" applyBorder="1" applyAlignment="1">
      <alignment vertical="center"/>
    </xf>
    <xf numFmtId="0" fontId="1" fillId="0" borderId="17" xfId="0" applyFont="1" applyBorder="1" applyAlignment="1">
      <alignment vertical="center" wrapText="1"/>
    </xf>
    <xf numFmtId="0" fontId="10" fillId="0" borderId="17" xfId="0" applyFont="1" applyBorder="1" applyAlignment="1">
      <alignment vertical="center"/>
    </xf>
    <xf numFmtId="0" fontId="10" fillId="0" borderId="17" xfId="0" applyFont="1" applyBorder="1" applyAlignment="1">
      <alignment vertical="center" wrapText="1"/>
    </xf>
    <xf numFmtId="49" fontId="10" fillId="0" borderId="17" xfId="6" applyNumberFormat="1" applyFont="1" applyFill="1" applyBorder="1" applyAlignment="1">
      <alignment horizontal="center" vertical="center" wrapText="1"/>
    </xf>
    <xf numFmtId="0" fontId="10" fillId="0" borderId="17" xfId="7" applyFont="1" applyBorder="1" applyAlignment="1">
      <alignment horizontal="center" vertical="center" wrapText="1"/>
    </xf>
    <xf numFmtId="0" fontId="10" fillId="0" borderId="17" xfId="0" applyFont="1" applyBorder="1" applyAlignment="1">
      <alignment horizontal="center" vertical="center"/>
    </xf>
    <xf numFmtId="3" fontId="1" fillId="0" borderId="17" xfId="0" applyNumberFormat="1" applyFont="1" applyBorder="1" applyAlignment="1">
      <alignment horizontal="center"/>
    </xf>
    <xf numFmtId="0" fontId="1" fillId="0" borderId="17" xfId="0" applyFont="1" applyBorder="1" applyAlignment="1">
      <alignment horizontal="center" vertical="center"/>
    </xf>
    <xf numFmtId="3" fontId="1" fillId="0" borderId="17" xfId="0" applyNumberFormat="1" applyFont="1" applyBorder="1" applyAlignment="1">
      <alignment horizontal="center" vertical="center"/>
    </xf>
    <xf numFmtId="3" fontId="10" fillId="0" borderId="17" xfId="0" applyNumberFormat="1" applyFont="1" applyBorder="1" applyAlignment="1">
      <alignment horizontal="center" vertical="center"/>
    </xf>
    <xf numFmtId="164" fontId="10" fillId="0" borderId="17" xfId="0" applyNumberFormat="1" applyFont="1" applyBorder="1" applyAlignment="1">
      <alignment horizontal="center"/>
    </xf>
    <xf numFmtId="3" fontId="10" fillId="0" borderId="17" xfId="0" applyNumberFormat="1" applyFont="1" applyBorder="1" applyAlignment="1">
      <alignment horizontal="center"/>
    </xf>
    <xf numFmtId="0" fontId="1" fillId="0" borderId="0" xfId="0" applyFont="1" applyAlignment="1">
      <alignment horizontal="center"/>
    </xf>
    <xf numFmtId="0" fontId="1" fillId="0" borderId="39" xfId="0" applyFont="1" applyBorder="1" applyAlignment="1">
      <alignment horizontal="center"/>
    </xf>
    <xf numFmtId="0" fontId="1" fillId="0" borderId="40" xfId="0" applyFont="1" applyBorder="1" applyAlignment="1">
      <alignment horizontal="center"/>
    </xf>
    <xf numFmtId="0" fontId="1" fillId="0" borderId="17" xfId="0"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left" vertical="center" wrapText="1"/>
    </xf>
    <xf numFmtId="3" fontId="1" fillId="0" borderId="17" xfId="0" applyNumberFormat="1" applyFont="1" applyBorder="1" applyAlignment="1">
      <alignment vertical="center" wrapText="1"/>
    </xf>
    <xf numFmtId="0" fontId="1" fillId="2" borderId="17" xfId="0" applyFont="1" applyFill="1" applyBorder="1" applyAlignment="1">
      <alignment horizontal="center" vertical="center" wrapText="1"/>
    </xf>
    <xf numFmtId="0" fontId="1" fillId="2" borderId="31" xfId="0" applyFont="1" applyFill="1" applyBorder="1" applyAlignment="1">
      <alignment vertical="center" wrapText="1"/>
    </xf>
    <xf numFmtId="0" fontId="1" fillId="2" borderId="29" xfId="0" applyFont="1" applyFill="1" applyBorder="1" applyAlignment="1">
      <alignment horizontal="center" vertical="center" wrapText="1"/>
    </xf>
    <xf numFmtId="0" fontId="1" fillId="2" borderId="29" xfId="0" applyFont="1" applyFill="1" applyBorder="1" applyAlignment="1">
      <alignment vertical="center" wrapText="1"/>
    </xf>
    <xf numFmtId="0" fontId="1" fillId="2" borderId="32" xfId="0" applyFont="1" applyFill="1" applyBorder="1" applyAlignment="1">
      <alignment vertical="center" wrapText="1"/>
    </xf>
    <xf numFmtId="0" fontId="1" fillId="2" borderId="20" xfId="0" applyFont="1" applyFill="1" applyBorder="1" applyAlignment="1">
      <alignment vertical="center" wrapText="1"/>
    </xf>
    <xf numFmtId="0" fontId="1" fillId="2" borderId="27" xfId="0" applyFont="1" applyFill="1" applyBorder="1" applyAlignment="1">
      <alignment vertical="center" wrapText="1"/>
    </xf>
    <xf numFmtId="0" fontId="1" fillId="2" borderId="39" xfId="0" applyFont="1" applyFill="1" applyBorder="1" applyAlignment="1">
      <alignment vertical="center" wrapText="1"/>
    </xf>
    <xf numFmtId="3" fontId="10" fillId="0" borderId="17" xfId="0" applyNumberFormat="1" applyFont="1" applyBorder="1" applyAlignment="1">
      <alignment vertical="center" wrapText="1"/>
    </xf>
    <xf numFmtId="0" fontId="1" fillId="0" borderId="17" xfId="0" applyFont="1" applyBorder="1" applyAlignment="1">
      <alignment horizontal="center" vertical="center" wrapText="1"/>
    </xf>
    <xf numFmtId="0" fontId="1" fillId="0" borderId="32" xfId="0" applyFont="1" applyBorder="1" applyAlignment="1">
      <alignment vertical="center" wrapText="1"/>
    </xf>
    <xf numFmtId="0" fontId="1" fillId="0" borderId="39" xfId="0" applyFont="1" applyBorder="1" applyAlignment="1">
      <alignment vertical="center" wrapText="1"/>
    </xf>
    <xf numFmtId="0" fontId="1" fillId="0" borderId="27" xfId="0" applyFont="1" applyBorder="1" applyAlignment="1">
      <alignment vertical="center" wrapText="1"/>
    </xf>
    <xf numFmtId="1" fontId="1" fillId="0" borderId="17" xfId="0" applyNumberFormat="1" applyFont="1" applyBorder="1" applyAlignment="1">
      <alignment horizontal="center" vertical="center" wrapText="1"/>
    </xf>
    <xf numFmtId="0" fontId="1" fillId="0" borderId="21" xfId="0" applyFont="1" applyBorder="1" applyAlignment="1">
      <alignment vertical="center"/>
    </xf>
    <xf numFmtId="14" fontId="1" fillId="0" borderId="22" xfId="0" applyNumberFormat="1" applyFont="1" applyBorder="1" applyAlignment="1">
      <alignment vertical="center"/>
    </xf>
    <xf numFmtId="172" fontId="1" fillId="0" borderId="22" xfId="2" applyNumberFormat="1" applyFont="1" applyFill="1" applyBorder="1" applyAlignment="1">
      <alignment vertical="center"/>
    </xf>
    <xf numFmtId="172" fontId="1" fillId="0" borderId="39" xfId="2" applyNumberFormat="1" applyFont="1" applyFill="1" applyBorder="1" applyAlignment="1">
      <alignment vertical="center"/>
    </xf>
    <xf numFmtId="168" fontId="1" fillId="0" borderId="22" xfId="2" applyNumberFormat="1" applyFont="1" applyFill="1" applyBorder="1" applyAlignment="1">
      <alignment vertical="center"/>
    </xf>
    <xf numFmtId="0" fontId="1" fillId="0" borderId="41" xfId="0" applyFont="1" applyBorder="1" applyAlignment="1">
      <alignment vertical="center"/>
    </xf>
    <xf numFmtId="14" fontId="1" fillId="0" borderId="43" xfId="0" applyNumberFormat="1" applyFont="1" applyBorder="1" applyAlignment="1">
      <alignment vertical="center"/>
    </xf>
    <xf numFmtId="172" fontId="1" fillId="0" borderId="40" xfId="2" applyNumberFormat="1" applyFont="1" applyFill="1" applyBorder="1" applyAlignment="1">
      <alignment vertical="center"/>
    </xf>
    <xf numFmtId="172" fontId="1" fillId="0" borderId="43" xfId="2" applyNumberFormat="1" applyFont="1" applyFill="1" applyBorder="1" applyAlignment="1">
      <alignment vertical="center"/>
    </xf>
    <xf numFmtId="168" fontId="1" fillId="0" borderId="43" xfId="2" applyNumberFormat="1" applyFont="1" applyFill="1" applyBorder="1" applyAlignment="1">
      <alignment vertical="center"/>
    </xf>
    <xf numFmtId="169" fontId="1" fillId="3" borderId="24" xfId="3" applyNumberFormat="1" applyFont="1" applyFill="1" applyBorder="1" applyAlignment="1">
      <alignment horizontal="right"/>
    </xf>
    <xf numFmtId="3" fontId="16" fillId="0" borderId="0" xfId="0" applyNumberFormat="1" applyFont="1" applyAlignment="1">
      <alignment horizontal="left" vertical="top" wrapText="1"/>
    </xf>
    <xf numFmtId="3" fontId="1" fillId="0" borderId="0" xfId="0" applyNumberFormat="1" applyFont="1" applyAlignment="1">
      <alignment horizontal="left" vertical="center" wrapText="1"/>
    </xf>
    <xf numFmtId="164" fontId="1" fillId="0" borderId="0" xfId="0" applyNumberFormat="1" applyFont="1" applyAlignment="1">
      <alignment horizontal="left" vertical="center" wrapText="1"/>
    </xf>
    <xf numFmtId="3" fontId="1" fillId="0" borderId="0" xfId="0" applyNumberFormat="1" applyFont="1" applyAlignment="1">
      <alignment horizontal="left" vertical="top" wrapText="1"/>
    </xf>
    <xf numFmtId="0" fontId="1" fillId="0" borderId="0" xfId="0" applyFont="1" applyAlignment="1">
      <alignment horizontal="left" wrapText="1"/>
    </xf>
    <xf numFmtId="0" fontId="1" fillId="2" borderId="29" xfId="0" applyFont="1" applyFill="1" applyBorder="1" applyAlignment="1">
      <alignment horizontal="left" vertical="center"/>
    </xf>
    <xf numFmtId="0" fontId="1" fillId="2" borderId="30" xfId="0" applyFont="1" applyFill="1" applyBorder="1" applyAlignment="1">
      <alignment horizontal="left" vertical="center"/>
    </xf>
    <xf numFmtId="0" fontId="1" fillId="0" borderId="18" xfId="0" applyFont="1" applyBorder="1"/>
    <xf numFmtId="0" fontId="1" fillId="0" borderId="19" xfId="0" applyFont="1" applyBorder="1"/>
    <xf numFmtId="0" fontId="1" fillId="0" borderId="20" xfId="0" applyFont="1" applyBorder="1"/>
    <xf numFmtId="0" fontId="1" fillId="0" borderId="21" xfId="0" applyFont="1" applyBorder="1"/>
    <xf numFmtId="0" fontId="1" fillId="0" borderId="0" xfId="0" applyFont="1"/>
    <xf numFmtId="0" fontId="1" fillId="0" borderId="22" xfId="0" applyFont="1" applyBorder="1"/>
    <xf numFmtId="0" fontId="1" fillId="3" borderId="21" xfId="0" applyFont="1" applyFill="1" applyBorder="1"/>
    <xf numFmtId="0" fontId="1" fillId="3" borderId="0" xfId="0" applyFont="1" applyFill="1"/>
    <xf numFmtId="0" fontId="1" fillId="3" borderId="22" xfId="0" applyFont="1" applyFill="1" applyBorder="1"/>
    <xf numFmtId="0" fontId="1" fillId="0" borderId="41" xfId="0" applyFont="1" applyBorder="1"/>
    <xf numFmtId="0" fontId="1" fillId="0" borderId="42" xfId="0" applyFont="1" applyBorder="1"/>
    <xf numFmtId="0" fontId="1" fillId="0" borderId="43" xfId="0" applyFont="1" applyBorder="1"/>
    <xf numFmtId="166" fontId="1" fillId="2" borderId="30" xfId="2" applyNumberFormat="1" applyFont="1" applyFill="1" applyBorder="1" applyAlignment="1">
      <alignment horizontal="left" vertical="center"/>
    </xf>
    <xf numFmtId="166" fontId="1" fillId="2" borderId="31" xfId="2" applyNumberFormat="1" applyFont="1" applyFill="1" applyBorder="1" applyAlignment="1">
      <alignment horizontal="left" vertical="center"/>
    </xf>
    <xf numFmtId="164" fontId="1" fillId="0" borderId="19" xfId="0" applyNumberFormat="1" applyFont="1" applyBorder="1" applyAlignment="1">
      <alignment horizontal="left"/>
    </xf>
    <xf numFmtId="164" fontId="1" fillId="0" borderId="20" xfId="0" applyNumberFormat="1" applyFont="1" applyBorder="1" applyAlignment="1">
      <alignment horizontal="left"/>
    </xf>
    <xf numFmtId="164" fontId="1" fillId="0" borderId="0" xfId="0" applyNumberFormat="1" applyFont="1" applyAlignment="1">
      <alignment horizontal="left"/>
    </xf>
    <xf numFmtId="164" fontId="1" fillId="0" borderId="22" xfId="0" applyNumberFormat="1" applyFont="1" applyBorder="1" applyAlignment="1">
      <alignment horizontal="left"/>
    </xf>
    <xf numFmtId="3" fontId="1" fillId="2" borderId="29" xfId="0" applyNumberFormat="1" applyFont="1" applyFill="1" applyBorder="1" applyAlignment="1">
      <alignment horizontal="center" vertical="center" wrapText="1"/>
    </xf>
    <xf numFmtId="3" fontId="1" fillId="2" borderId="30" xfId="0" applyNumberFormat="1" applyFont="1" applyFill="1" applyBorder="1" applyAlignment="1">
      <alignment horizontal="center" vertical="center" wrapText="1"/>
    </xf>
    <xf numFmtId="3" fontId="1" fillId="2" borderId="31" xfId="0" applyNumberFormat="1" applyFont="1" applyFill="1" applyBorder="1" applyAlignment="1">
      <alignment horizontal="center" vertical="center" wrapText="1"/>
    </xf>
    <xf numFmtId="3" fontId="1" fillId="2" borderId="22" xfId="0" applyNumberFormat="1" applyFont="1" applyFill="1" applyBorder="1" applyAlignment="1">
      <alignment horizontal="center" vertical="center" wrapText="1"/>
    </xf>
    <xf numFmtId="3" fontId="1" fillId="2" borderId="28" xfId="0" applyNumberFormat="1" applyFont="1" applyFill="1" applyBorder="1" applyAlignment="1">
      <alignment horizontal="center" vertical="center" wrapText="1"/>
    </xf>
    <xf numFmtId="3" fontId="1" fillId="2" borderId="19" xfId="0" applyNumberFormat="1" applyFont="1" applyFill="1" applyBorder="1" applyAlignment="1">
      <alignment horizontal="center" vertical="center" wrapText="1"/>
    </xf>
    <xf numFmtId="3" fontId="1" fillId="2" borderId="20" xfId="0" applyNumberFormat="1" applyFont="1" applyFill="1" applyBorder="1" applyAlignment="1">
      <alignment horizontal="center" vertical="center" wrapText="1"/>
    </xf>
    <xf numFmtId="164" fontId="1" fillId="0" borderId="0" xfId="0" applyNumberFormat="1" applyFont="1" applyAlignment="1">
      <alignment vertical="top"/>
    </xf>
    <xf numFmtId="3" fontId="1" fillId="2" borderId="44" xfId="0" applyNumberFormat="1" applyFont="1" applyFill="1" applyBorder="1" applyAlignment="1">
      <alignment horizontal="center" vertical="center" wrapText="1"/>
    </xf>
    <xf numFmtId="3" fontId="1" fillId="2" borderId="26" xfId="0" applyNumberFormat="1" applyFont="1" applyFill="1" applyBorder="1" applyAlignment="1">
      <alignment horizontal="center" vertical="center" wrapText="1"/>
    </xf>
    <xf numFmtId="3" fontId="1" fillId="0" borderId="47" xfId="0" applyNumberFormat="1" applyFont="1" applyBorder="1"/>
    <xf numFmtId="3" fontId="1" fillId="0" borderId="36" xfId="0" applyNumberFormat="1" applyFont="1" applyBorder="1"/>
    <xf numFmtId="3" fontId="1" fillId="0" borderId="37" xfId="0" applyNumberFormat="1" applyFont="1" applyBorder="1"/>
    <xf numFmtId="3" fontId="1" fillId="0" borderId="0" xfId="0" applyNumberFormat="1" applyFont="1"/>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3" fontId="1" fillId="2" borderId="0" xfId="0" applyNumberFormat="1" applyFont="1" applyFill="1" applyAlignment="1">
      <alignment horizontal="center" vertical="center"/>
    </xf>
    <xf numFmtId="3" fontId="1" fillId="2" borderId="22" xfId="0" applyNumberFormat="1" applyFont="1" applyFill="1" applyBorder="1" applyAlignment="1">
      <alignment horizontal="center" vertical="center"/>
    </xf>
    <xf numFmtId="3" fontId="1" fillId="2" borderId="23" xfId="0" applyNumberFormat="1" applyFont="1" applyFill="1" applyBorder="1" applyAlignment="1">
      <alignment horizontal="center" vertical="center"/>
    </xf>
    <xf numFmtId="3" fontId="1" fillId="2" borderId="24" xfId="0" applyNumberFormat="1" applyFont="1" applyFill="1" applyBorder="1" applyAlignment="1">
      <alignment horizontal="center" vertical="center"/>
    </xf>
    <xf numFmtId="3" fontId="1" fillId="2" borderId="28" xfId="0" applyNumberFormat="1" applyFont="1" applyFill="1" applyBorder="1" applyAlignment="1">
      <alignment horizontal="center" vertical="center"/>
    </xf>
    <xf numFmtId="3" fontId="1" fillId="2" borderId="32" xfId="0" applyNumberFormat="1" applyFont="1" applyFill="1" applyBorder="1" applyAlignment="1">
      <alignment horizontal="center" vertical="center"/>
    </xf>
    <xf numFmtId="3" fontId="1" fillId="2" borderId="39" xfId="0" applyNumberFormat="1" applyFont="1" applyFill="1" applyBorder="1" applyAlignment="1">
      <alignment horizontal="center" vertical="center"/>
    </xf>
    <xf numFmtId="3" fontId="1" fillId="2" borderId="27" xfId="0" applyNumberFormat="1" applyFont="1" applyFill="1" applyBorder="1" applyAlignment="1">
      <alignment horizontal="center" vertical="center"/>
    </xf>
    <xf numFmtId="3" fontId="1" fillId="2" borderId="48" xfId="0" applyNumberFormat="1" applyFont="1" applyFill="1" applyBorder="1" applyAlignment="1">
      <alignment horizontal="center" vertical="center"/>
    </xf>
    <xf numFmtId="3" fontId="1" fillId="2" borderId="49" xfId="0" applyNumberFormat="1" applyFont="1" applyFill="1" applyBorder="1" applyAlignment="1">
      <alignment horizontal="center" vertical="center"/>
    </xf>
    <xf numFmtId="3" fontId="1" fillId="2" borderId="46" xfId="0" applyNumberFormat="1" applyFont="1" applyFill="1" applyBorder="1" applyAlignment="1">
      <alignment horizontal="center" vertical="center"/>
    </xf>
    <xf numFmtId="3" fontId="1" fillId="2" borderId="38" xfId="0" applyNumberFormat="1" applyFont="1" applyFill="1" applyBorder="1" applyAlignment="1">
      <alignment horizontal="center" vertical="center"/>
    </xf>
    <xf numFmtId="3" fontId="1" fillId="2" borderId="35" xfId="0" applyNumberFormat="1" applyFont="1" applyFill="1" applyBorder="1" applyAlignment="1">
      <alignment horizontal="center" vertical="center"/>
    </xf>
    <xf numFmtId="164" fontId="1" fillId="2" borderId="29" xfId="0" applyNumberFormat="1" applyFont="1" applyFill="1" applyBorder="1" applyAlignment="1">
      <alignment horizontal="left" vertical="center"/>
    </xf>
    <xf numFmtId="164" fontId="1" fillId="2" borderId="30" xfId="0" applyNumberFormat="1" applyFont="1" applyFill="1" applyBorder="1" applyAlignment="1">
      <alignment horizontal="left" vertical="center"/>
    </xf>
    <xf numFmtId="164" fontId="1" fillId="2" borderId="31" xfId="0" applyNumberFormat="1" applyFont="1" applyFill="1" applyBorder="1" applyAlignment="1">
      <alignment horizontal="left" vertical="center"/>
    </xf>
    <xf numFmtId="164" fontId="1" fillId="0" borderId="0" xfId="0" applyNumberFormat="1" applyFont="1" applyAlignment="1">
      <alignment horizontal="justify" vertical="top" wrapText="1"/>
    </xf>
    <xf numFmtId="3" fontId="1" fillId="2" borderId="30" xfId="0" applyNumberFormat="1" applyFont="1" applyFill="1" applyBorder="1" applyAlignment="1">
      <alignment horizontal="center" vertical="center"/>
    </xf>
    <xf numFmtId="3" fontId="1" fillId="2" borderId="31" xfId="0" applyNumberFormat="1" applyFont="1" applyFill="1" applyBorder="1" applyAlignment="1">
      <alignment horizontal="center" vertical="center"/>
    </xf>
    <xf numFmtId="3" fontId="1" fillId="2" borderId="13" xfId="0" applyNumberFormat="1" applyFont="1" applyFill="1" applyBorder="1" applyAlignment="1">
      <alignment horizontal="center" vertical="center" wrapText="1"/>
    </xf>
    <xf numFmtId="3" fontId="1" fillId="2" borderId="2" xfId="0" applyNumberFormat="1" applyFont="1" applyFill="1" applyBorder="1" applyAlignment="1">
      <alignment horizontal="center" vertical="center" wrapText="1"/>
    </xf>
    <xf numFmtId="3" fontId="1" fillId="2" borderId="25" xfId="0" applyNumberFormat="1" applyFont="1" applyFill="1" applyBorder="1" applyAlignment="1">
      <alignment horizontal="center" vertical="center" wrapText="1"/>
    </xf>
    <xf numFmtId="3" fontId="1" fillId="2" borderId="48" xfId="0" applyNumberFormat="1" applyFont="1" applyFill="1" applyBorder="1" applyAlignment="1">
      <alignment horizontal="center" vertical="center" wrapText="1"/>
    </xf>
    <xf numFmtId="3" fontId="1" fillId="2" borderId="49" xfId="0" applyNumberFormat="1" applyFont="1" applyFill="1" applyBorder="1" applyAlignment="1">
      <alignment horizontal="center" vertical="center" wrapText="1"/>
    </xf>
    <xf numFmtId="3" fontId="1" fillId="2" borderId="46" xfId="0" applyNumberFormat="1" applyFont="1" applyFill="1" applyBorder="1" applyAlignment="1">
      <alignment horizontal="center" vertical="center" wrapText="1"/>
    </xf>
    <xf numFmtId="3" fontId="1" fillId="2" borderId="44" xfId="0" applyNumberFormat="1" applyFont="1" applyFill="1" applyBorder="1" applyAlignment="1">
      <alignment horizontal="center" vertical="center"/>
    </xf>
    <xf numFmtId="3" fontId="1" fillId="2" borderId="50" xfId="0" applyNumberFormat="1" applyFont="1" applyFill="1" applyBorder="1" applyAlignment="1">
      <alignment horizontal="center" vertical="center"/>
    </xf>
    <xf numFmtId="3" fontId="1" fillId="2" borderId="26" xfId="0" applyNumberFormat="1" applyFont="1" applyFill="1" applyBorder="1" applyAlignment="1">
      <alignment horizontal="center" vertical="center"/>
    </xf>
    <xf numFmtId="0" fontId="1" fillId="0" borderId="24" xfId="10" applyBorder="1" applyAlignment="1">
      <alignment vertical="center"/>
    </xf>
    <xf numFmtId="164" fontId="1" fillId="2" borderId="0" xfId="0" applyNumberFormat="1" applyFont="1" applyFill="1" applyAlignment="1">
      <alignment horizontal="center" vertical="center" wrapText="1"/>
    </xf>
    <xf numFmtId="164" fontId="1" fillId="2" borderId="22" xfId="0" applyNumberFormat="1" applyFont="1" applyFill="1" applyBorder="1" applyAlignment="1">
      <alignment horizontal="center" vertical="center" wrapText="1"/>
    </xf>
    <xf numFmtId="164" fontId="1" fillId="2" borderId="24" xfId="0" applyNumberFormat="1" applyFont="1" applyFill="1" applyBorder="1" applyAlignment="1">
      <alignment horizontal="center" vertical="center" wrapText="1"/>
    </xf>
    <xf numFmtId="164" fontId="1" fillId="2" borderId="28" xfId="0" applyNumberFormat="1" applyFont="1" applyFill="1" applyBorder="1" applyAlignment="1">
      <alignment horizontal="center" vertical="center" wrapText="1"/>
    </xf>
    <xf numFmtId="164" fontId="34" fillId="2" borderId="18" xfId="0" applyNumberFormat="1" applyFont="1" applyFill="1" applyBorder="1" applyAlignment="1">
      <alignment horizontal="center" vertical="center" wrapText="1"/>
    </xf>
    <xf numFmtId="164" fontId="34" fillId="2" borderId="19" xfId="0" applyNumberFormat="1" applyFont="1" applyFill="1" applyBorder="1" applyAlignment="1">
      <alignment horizontal="center" vertical="center" wrapText="1"/>
    </xf>
    <xf numFmtId="164" fontId="34" fillId="2" borderId="20" xfId="0" applyNumberFormat="1" applyFont="1" applyFill="1" applyBorder="1" applyAlignment="1">
      <alignment horizontal="center" vertical="center" wrapText="1"/>
    </xf>
    <xf numFmtId="164" fontId="34" fillId="2" borderId="23" xfId="0" applyNumberFormat="1" applyFont="1" applyFill="1" applyBorder="1" applyAlignment="1">
      <alignment horizontal="center" vertical="center" wrapText="1"/>
    </xf>
    <xf numFmtId="164" fontId="34" fillId="2" borderId="24" xfId="0" applyNumberFormat="1" applyFont="1" applyFill="1" applyBorder="1" applyAlignment="1">
      <alignment horizontal="center" vertical="center" wrapText="1"/>
    </xf>
    <xf numFmtId="164" fontId="34" fillId="2" borderId="28" xfId="0" applyNumberFormat="1" applyFont="1" applyFill="1" applyBorder="1" applyAlignment="1">
      <alignment horizontal="center" vertical="center" wrapText="1"/>
    </xf>
    <xf numFmtId="164" fontId="10" fillId="0" borderId="22" xfId="0" applyNumberFormat="1" applyFont="1" applyBorder="1" applyAlignment="1">
      <alignment horizontal="right" vertical="center" wrapText="1"/>
    </xf>
    <xf numFmtId="164" fontId="10" fillId="0" borderId="28" xfId="0" applyNumberFormat="1" applyFont="1" applyBorder="1" applyAlignment="1">
      <alignment horizontal="right" vertical="center" wrapText="1"/>
    </xf>
    <xf numFmtId="0" fontId="1" fillId="3" borderId="21" xfId="0" applyFont="1" applyFill="1" applyBorder="1" applyAlignment="1">
      <alignment horizontal="left" vertical="center" wrapText="1"/>
    </xf>
    <xf numFmtId="0" fontId="1" fillId="3" borderId="0" xfId="0" applyFont="1" applyFill="1" applyAlignment="1">
      <alignment horizontal="left" vertical="center" wrapText="1"/>
    </xf>
    <xf numFmtId="0" fontId="1" fillId="3" borderId="22" xfId="0" applyFont="1" applyFill="1" applyBorder="1" applyAlignment="1">
      <alignment horizontal="left"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4" fontId="1" fillId="2" borderId="31" xfId="0" applyNumberFormat="1" applyFont="1" applyFill="1" applyBorder="1" applyAlignment="1">
      <alignment horizontal="center" vertical="center" wrapText="1"/>
    </xf>
    <xf numFmtId="164" fontId="1" fillId="0" borderId="21" xfId="0" applyNumberFormat="1" applyFont="1" applyBorder="1" applyAlignment="1">
      <alignment horizontal="left" vertical="center" wrapText="1"/>
    </xf>
    <xf numFmtId="164" fontId="1" fillId="0" borderId="22" xfId="0" applyNumberFormat="1" applyFont="1" applyBorder="1" applyAlignment="1">
      <alignment horizontal="left" vertical="center" wrapText="1"/>
    </xf>
    <xf numFmtId="164" fontId="1" fillId="0" borderId="23" xfId="0" applyNumberFormat="1" applyFont="1" applyBorder="1" applyAlignment="1">
      <alignment horizontal="left" vertical="center" wrapText="1"/>
    </xf>
    <xf numFmtId="164" fontId="1" fillId="0" borderId="24" xfId="0" applyNumberFormat="1" applyFont="1" applyBorder="1" applyAlignment="1">
      <alignment horizontal="left" vertical="center" wrapText="1"/>
    </xf>
    <xf numFmtId="164" fontId="1" fillId="0" borderId="28" xfId="0" applyNumberFormat="1" applyFont="1" applyBorder="1" applyAlignment="1">
      <alignment horizontal="left" vertical="center" wrapText="1"/>
    </xf>
    <xf numFmtId="0" fontId="1" fillId="0" borderId="21" xfId="0" applyFont="1" applyBorder="1" applyAlignment="1">
      <alignment horizontal="left" vertical="center"/>
    </xf>
    <xf numFmtId="0" fontId="1" fillId="0" borderId="0" xfId="0" applyFont="1" applyAlignment="1">
      <alignment horizontal="left" vertical="center"/>
    </xf>
    <xf numFmtId="0" fontId="1" fillId="0" borderId="22" xfId="0" applyFont="1" applyBorder="1" applyAlignment="1">
      <alignment horizontal="left" vertical="center"/>
    </xf>
    <xf numFmtId="0" fontId="1" fillId="0" borderId="41" xfId="0" applyFont="1" applyBorder="1" applyAlignment="1">
      <alignment horizontal="left" vertical="center"/>
    </xf>
    <xf numFmtId="0" fontId="1" fillId="0" borderId="42" xfId="0" applyFont="1" applyBorder="1" applyAlignment="1">
      <alignment horizontal="left" vertical="center"/>
    </xf>
    <xf numFmtId="0" fontId="1" fillId="0" borderId="43" xfId="0" applyFont="1" applyBorder="1" applyAlignment="1">
      <alignment horizontal="left" vertical="center"/>
    </xf>
    <xf numFmtId="164" fontId="34" fillId="2" borderId="18" xfId="0" applyNumberFormat="1" applyFont="1" applyFill="1" applyBorder="1" applyAlignment="1">
      <alignment horizontal="center" vertical="center"/>
    </xf>
    <xf numFmtId="164" fontId="34" fillId="2" borderId="19" xfId="0" applyNumberFormat="1" applyFont="1" applyFill="1" applyBorder="1" applyAlignment="1">
      <alignment horizontal="center" vertical="center"/>
    </xf>
    <xf numFmtId="164" fontId="34" fillId="2" borderId="20" xfId="0" applyNumberFormat="1" applyFont="1" applyFill="1" applyBorder="1" applyAlignment="1">
      <alignment horizontal="center" vertical="center"/>
    </xf>
    <xf numFmtId="3" fontId="1" fillId="2" borderId="29" xfId="0" applyNumberFormat="1" applyFont="1" applyFill="1" applyBorder="1" applyAlignment="1">
      <alignment horizontal="center" vertical="center"/>
    </xf>
    <xf numFmtId="3" fontId="1" fillId="2" borderId="23" xfId="0" applyNumberFormat="1" applyFont="1" applyFill="1" applyBorder="1" applyAlignment="1">
      <alignment horizontal="center" vertical="center" wrapText="1"/>
    </xf>
    <xf numFmtId="3" fontId="1" fillId="2" borderId="54" xfId="0" applyNumberFormat="1" applyFont="1" applyFill="1" applyBorder="1" applyAlignment="1">
      <alignment horizontal="center" vertical="center"/>
    </xf>
    <xf numFmtId="3" fontId="1" fillId="2" borderId="55" xfId="0" applyNumberFormat="1" applyFont="1" applyFill="1" applyBorder="1" applyAlignment="1">
      <alignment horizontal="center" vertical="center" wrapText="1"/>
    </xf>
    <xf numFmtId="164" fontId="34" fillId="2" borderId="29" xfId="0" applyNumberFormat="1" applyFont="1" applyFill="1" applyBorder="1" applyAlignment="1">
      <alignment horizontal="center" vertical="center"/>
    </xf>
    <xf numFmtId="164" fontId="34" fillId="2" borderId="30" xfId="0" applyNumberFormat="1" applyFont="1" applyFill="1" applyBorder="1" applyAlignment="1">
      <alignment horizontal="center" vertical="center"/>
    </xf>
    <xf numFmtId="164" fontId="34" fillId="2" borderId="31" xfId="0" applyNumberFormat="1" applyFont="1" applyFill="1" applyBorder="1" applyAlignment="1">
      <alignment horizontal="center" vertical="center"/>
    </xf>
    <xf numFmtId="0" fontId="18" fillId="5" borderId="18" xfId="0" applyFont="1" applyFill="1" applyBorder="1" applyAlignment="1">
      <alignment horizontal="center" vertical="center"/>
    </xf>
    <xf numFmtId="0" fontId="18" fillId="5" borderId="19" xfId="0" applyFont="1" applyFill="1" applyBorder="1" applyAlignment="1">
      <alignment horizontal="center" vertical="center"/>
    </xf>
    <xf numFmtId="0" fontId="18" fillId="5" borderId="20" xfId="0" applyFont="1" applyFill="1" applyBorder="1" applyAlignment="1">
      <alignment horizontal="center" vertical="center"/>
    </xf>
    <xf numFmtId="0" fontId="18" fillId="5" borderId="23" xfId="0" applyFont="1" applyFill="1" applyBorder="1" applyAlignment="1">
      <alignment horizontal="center" vertical="center"/>
    </xf>
    <xf numFmtId="0" fontId="18" fillId="5" borderId="24" xfId="0" applyFont="1" applyFill="1" applyBorder="1" applyAlignment="1">
      <alignment horizontal="center" vertical="center"/>
    </xf>
    <xf numFmtId="0" fontId="18" fillId="5" borderId="28" xfId="0" applyFont="1" applyFill="1" applyBorder="1" applyAlignment="1">
      <alignment horizontal="center" vertical="center"/>
    </xf>
    <xf numFmtId="0" fontId="7" fillId="0" borderId="0" xfId="0" applyFont="1" applyAlignment="1">
      <alignment horizontal="center"/>
    </xf>
    <xf numFmtId="0" fontId="18" fillId="5" borderId="17" xfId="0" applyFont="1" applyFill="1" applyBorder="1" applyAlignment="1">
      <alignment horizontal="center" vertical="center" wrapText="1"/>
    </xf>
    <xf numFmtId="0" fontId="1" fillId="2" borderId="17" xfId="0" applyFont="1" applyFill="1" applyBorder="1" applyAlignment="1">
      <alignment horizontal="center" vertical="center" wrapText="1"/>
    </xf>
    <xf numFmtId="1" fontId="18" fillId="6" borderId="17" xfId="0" applyNumberFormat="1" applyFont="1" applyFill="1" applyBorder="1" applyAlignment="1">
      <alignment horizontal="center" vertical="center" wrapText="1"/>
    </xf>
    <xf numFmtId="0" fontId="1" fillId="0" borderId="17" xfId="0" applyFont="1" applyBorder="1" applyAlignment="1">
      <alignment horizontal="center" vertical="center" wrapText="1"/>
    </xf>
    <xf numFmtId="0" fontId="1" fillId="2" borderId="54" xfId="0" applyFont="1" applyFill="1" applyBorder="1" applyAlignment="1">
      <alignment horizontal="center" vertical="center"/>
    </xf>
    <xf numFmtId="0" fontId="1" fillId="2" borderId="53"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30"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31" xfId="0" applyFont="1" applyFill="1" applyBorder="1" applyAlignment="1">
      <alignment horizontal="left" vertical="center"/>
    </xf>
    <xf numFmtId="164" fontId="13" fillId="0" borderId="4" xfId="10" applyNumberFormat="1" applyFont="1" applyBorder="1" applyAlignment="1">
      <alignment horizontal="center" vertical="center" wrapText="1"/>
    </xf>
    <xf numFmtId="164" fontId="13" fillId="0" borderId="1" xfId="10" applyNumberFormat="1" applyFont="1" applyBorder="1" applyAlignment="1">
      <alignment horizontal="center" vertical="center" wrapText="1"/>
    </xf>
    <xf numFmtId="164" fontId="13" fillId="0" borderId="14" xfId="10" applyNumberFormat="1" applyFont="1" applyBorder="1" applyAlignment="1">
      <alignment horizontal="center" vertical="center" wrapText="1"/>
    </xf>
    <xf numFmtId="164" fontId="13" fillId="0" borderId="7" xfId="10" applyNumberFormat="1" applyFont="1" applyBorder="1" applyAlignment="1">
      <alignment horizontal="center" vertical="center" wrapText="1"/>
    </xf>
    <xf numFmtId="164" fontId="13" fillId="0" borderId="8" xfId="10" applyNumberFormat="1" applyFont="1" applyBorder="1" applyAlignment="1">
      <alignment horizontal="center" vertical="center" wrapText="1"/>
    </xf>
    <xf numFmtId="164" fontId="13" fillId="0" borderId="9" xfId="10" applyNumberFormat="1" applyFont="1" applyBorder="1" applyAlignment="1">
      <alignment horizontal="center" vertical="center" wrapText="1"/>
    </xf>
    <xf numFmtId="164" fontId="13" fillId="0" borderId="5" xfId="10" applyNumberFormat="1" applyFont="1" applyBorder="1" applyAlignment="1">
      <alignment horizontal="center" vertical="center" wrapText="1"/>
    </xf>
    <xf numFmtId="164" fontId="13" fillId="0" borderId="6" xfId="10" applyNumberFormat="1" applyFont="1" applyBorder="1" applyAlignment="1">
      <alignment horizontal="center" vertical="center" wrapText="1"/>
    </xf>
    <xf numFmtId="164" fontId="13" fillId="0" borderId="15" xfId="10" applyNumberFormat="1" applyFont="1" applyBorder="1" applyAlignment="1">
      <alignment horizontal="center" vertical="center" wrapText="1"/>
    </xf>
    <xf numFmtId="164" fontId="13" fillId="0" borderId="10" xfId="10" applyNumberFormat="1" applyFont="1" applyBorder="1" applyAlignment="1">
      <alignment horizontal="center" vertical="center" wrapText="1"/>
    </xf>
    <xf numFmtId="164" fontId="13" fillId="0" borderId="3" xfId="10" applyNumberFormat="1" applyFont="1" applyBorder="1" applyAlignment="1">
      <alignment horizontal="center" vertical="center" wrapText="1"/>
    </xf>
    <xf numFmtId="164" fontId="13" fillId="0" borderId="12" xfId="10" applyNumberFormat="1" applyFont="1" applyBorder="1" applyAlignment="1">
      <alignment horizontal="center" vertical="center" wrapText="1"/>
    </xf>
    <xf numFmtId="49" fontId="25" fillId="0" borderId="0" xfId="7" applyNumberFormat="1" applyFont="1" applyAlignment="1">
      <alignment horizontal="left" vertical="center"/>
    </xf>
    <xf numFmtId="0" fontId="25" fillId="0" borderId="1" xfId="7" applyFont="1" applyBorder="1" applyAlignment="1">
      <alignment horizontal="center"/>
    </xf>
    <xf numFmtId="0" fontId="25" fillId="0" borderId="14" xfId="7" applyFont="1" applyBorder="1" applyAlignment="1">
      <alignment horizontal="center"/>
    </xf>
    <xf numFmtId="0" fontId="25" fillId="0" borderId="4" xfId="7" applyFont="1" applyBorder="1" applyAlignment="1">
      <alignment horizontal="center"/>
    </xf>
    <xf numFmtId="0" fontId="13" fillId="0" borderId="1" xfId="7" applyFont="1" applyBorder="1" applyAlignment="1">
      <alignment horizontal="center" vertical="center"/>
    </xf>
    <xf numFmtId="0" fontId="13" fillId="0" borderId="2" xfId="7" applyFont="1" applyBorder="1" applyAlignment="1">
      <alignment horizontal="center" vertical="center"/>
    </xf>
    <xf numFmtId="0" fontId="13" fillId="0" borderId="14" xfId="7" applyFont="1" applyBorder="1" applyAlignment="1">
      <alignment horizontal="center" vertical="center"/>
    </xf>
    <xf numFmtId="0" fontId="13" fillId="0" borderId="4" xfId="10" applyFont="1" applyBorder="1" applyAlignment="1">
      <alignment horizontal="center"/>
    </xf>
    <xf numFmtId="0" fontId="13" fillId="0" borderId="4" xfId="10" applyFont="1" applyBorder="1" applyAlignment="1">
      <alignment horizontal="center" vertical="center" wrapText="1"/>
    </xf>
    <xf numFmtId="164" fontId="13" fillId="0" borderId="2" xfId="10" applyNumberFormat="1" applyFont="1" applyBorder="1" applyAlignment="1">
      <alignment horizontal="center" vertical="center" wrapText="1"/>
    </xf>
    <xf numFmtId="164" fontId="13" fillId="0" borderId="1" xfId="10" applyNumberFormat="1" applyFont="1" applyBorder="1" applyAlignment="1">
      <alignment horizontal="center" vertical="center"/>
    </xf>
    <xf numFmtId="164" fontId="13" fillId="0" borderId="2" xfId="10" applyNumberFormat="1" applyFont="1" applyBorder="1" applyAlignment="1">
      <alignment horizontal="center" vertical="center"/>
    </xf>
    <xf numFmtId="0" fontId="26" fillId="0" borderId="0" xfId="10" applyFont="1" applyAlignment="1">
      <alignment horizontal="center" vertical="center" wrapText="1"/>
    </xf>
    <xf numFmtId="0" fontId="13" fillId="0" borderId="1" xfId="10" applyFont="1" applyBorder="1" applyAlignment="1">
      <alignment horizontal="center"/>
    </xf>
    <xf numFmtId="0" fontId="13" fillId="0" borderId="2" xfId="10" applyFont="1" applyBorder="1" applyAlignment="1">
      <alignment horizontal="center"/>
    </xf>
    <xf numFmtId="0" fontId="13" fillId="0" borderId="14" xfId="10" applyFont="1" applyBorder="1" applyAlignment="1">
      <alignment horizontal="center"/>
    </xf>
    <xf numFmtId="0" fontId="13" fillId="0" borderId="1" xfId="10" quotePrefix="1" applyFont="1" applyBorder="1" applyAlignment="1">
      <alignment horizontal="center"/>
    </xf>
    <xf numFmtId="0" fontId="13" fillId="0" borderId="14" xfId="10" quotePrefix="1" applyFont="1" applyBorder="1" applyAlignment="1">
      <alignment horizontal="center"/>
    </xf>
    <xf numFmtId="164" fontId="20" fillId="0" borderId="7" xfId="7" applyNumberFormat="1" applyFont="1" applyBorder="1" applyAlignment="1">
      <alignment horizontal="center" vertical="center" wrapText="1"/>
    </xf>
    <xf numFmtId="164" fontId="13" fillId="0" borderId="8" xfId="7" applyNumberFormat="1" applyFont="1" applyBorder="1" applyAlignment="1">
      <alignment horizontal="center" vertical="center" wrapText="1"/>
    </xf>
    <xf numFmtId="164" fontId="20" fillId="0" borderId="1" xfId="7" applyNumberFormat="1" applyFont="1" applyBorder="1" applyAlignment="1">
      <alignment horizontal="center" vertical="center" wrapText="1"/>
    </xf>
    <xf numFmtId="164" fontId="20" fillId="0" borderId="14" xfId="7" applyNumberFormat="1" applyFont="1" applyBorder="1" applyAlignment="1">
      <alignment horizontal="center" vertical="center" wrapText="1"/>
    </xf>
    <xf numFmtId="164" fontId="20" fillId="0" borderId="4" xfId="7" applyNumberFormat="1" applyFont="1" applyBorder="1" applyAlignment="1">
      <alignment horizontal="center" vertical="center" wrapText="1"/>
    </xf>
    <xf numFmtId="164" fontId="13" fillId="3" borderId="7" xfId="7" applyNumberFormat="1" applyFont="1" applyFill="1" applyBorder="1" applyAlignment="1">
      <alignment horizontal="center" vertical="center" wrapText="1"/>
    </xf>
    <xf numFmtId="164" fontId="13" fillId="3" borderId="8" xfId="7" applyNumberFormat="1" applyFont="1" applyFill="1" applyBorder="1" applyAlignment="1">
      <alignment horizontal="center" vertical="center" wrapText="1"/>
    </xf>
    <xf numFmtId="164" fontId="20" fillId="0" borderId="2" xfId="7"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4" xfId="0" applyFont="1" applyBorder="1" applyAlignment="1">
      <alignment horizontal="center" vertical="center" wrapText="1"/>
    </xf>
    <xf numFmtId="0" fontId="9" fillId="3" borderId="10"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0" xfId="0" applyFont="1" applyFill="1" applyAlignment="1">
      <alignment horizontal="center" vertical="center" wrapText="1"/>
    </xf>
    <xf numFmtId="0" fontId="9" fillId="3" borderId="6"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5" xfId="0" applyFont="1" applyFill="1" applyBorder="1" applyAlignment="1">
      <alignment horizontal="center" vertical="center" wrapText="1"/>
    </xf>
    <xf numFmtId="164" fontId="13" fillId="4" borderId="1" xfId="7" applyNumberFormat="1" applyFont="1" applyFill="1" applyBorder="1" applyAlignment="1">
      <alignment horizontal="center" vertical="center" wrapText="1"/>
    </xf>
    <xf numFmtId="164" fontId="13" fillId="4" borderId="2" xfId="7" applyNumberFormat="1" applyFont="1" applyFill="1" applyBorder="1" applyAlignment="1">
      <alignment horizontal="center" vertical="center" wrapText="1"/>
    </xf>
    <xf numFmtId="164" fontId="13" fillId="4" borderId="14" xfId="7" applyNumberFormat="1" applyFont="1" applyFill="1" applyBorder="1" applyAlignment="1">
      <alignment horizontal="center" vertical="center" wrapText="1"/>
    </xf>
    <xf numFmtId="164" fontId="13" fillId="0" borderId="1" xfId="7" applyNumberFormat="1" applyFont="1" applyBorder="1" applyAlignment="1">
      <alignment horizontal="center" vertical="center" wrapText="1"/>
    </xf>
    <xf numFmtId="164" fontId="13" fillId="0" borderId="2" xfId="7" applyNumberFormat="1" applyFont="1" applyBorder="1" applyAlignment="1">
      <alignment horizontal="center" vertical="center" wrapText="1"/>
    </xf>
    <xf numFmtId="164" fontId="13" fillId="0" borderId="14" xfId="7" applyNumberFormat="1" applyFont="1" applyBorder="1" applyAlignment="1">
      <alignment horizontal="center" vertical="center" wrapText="1"/>
    </xf>
    <xf numFmtId="164" fontId="13" fillId="0" borderId="4" xfId="7" applyNumberFormat="1" applyFont="1" applyBorder="1" applyAlignment="1">
      <alignment horizontal="center" vertical="center" wrapText="1"/>
    </xf>
    <xf numFmtId="164" fontId="13" fillId="0" borderId="7" xfId="7" applyNumberFormat="1" applyFont="1" applyBorder="1" applyAlignment="1">
      <alignment horizontal="center" vertical="center" wrapText="1"/>
    </xf>
    <xf numFmtId="164" fontId="20" fillId="0" borderId="8" xfId="7" applyNumberFormat="1" applyFont="1" applyBorder="1" applyAlignment="1">
      <alignment horizontal="center" vertical="center" wrapText="1"/>
    </xf>
    <xf numFmtId="164" fontId="20" fillId="3" borderId="7" xfId="7" applyNumberFormat="1" applyFont="1" applyFill="1" applyBorder="1" applyAlignment="1">
      <alignment horizontal="center" vertical="center" wrapText="1"/>
    </xf>
    <xf numFmtId="164" fontId="20" fillId="3" borderId="8" xfId="7" applyNumberFormat="1" applyFont="1" applyFill="1" applyBorder="1" applyAlignment="1">
      <alignment horizontal="center" vertical="center" wrapText="1"/>
    </xf>
    <xf numFmtId="0" fontId="0" fillId="0" borderId="0" xfId="0" applyAlignment="1">
      <alignment horizontal="left" vertical="top" wrapText="1"/>
    </xf>
    <xf numFmtId="0" fontId="9" fillId="0" borderId="11" xfId="0" applyFont="1" applyBorder="1" applyAlignment="1">
      <alignment horizontal="center" vertical="center" wrapText="1"/>
    </xf>
    <xf numFmtId="164" fontId="20" fillId="3" borderId="1" xfId="7" applyNumberFormat="1" applyFont="1" applyFill="1" applyBorder="1" applyAlignment="1">
      <alignment horizontal="center" vertical="center"/>
    </xf>
    <xf numFmtId="164" fontId="20" fillId="3" borderId="2" xfId="7" applyNumberFormat="1" applyFont="1" applyFill="1" applyBorder="1" applyAlignment="1">
      <alignment horizontal="center" vertical="center"/>
    </xf>
    <xf numFmtId="164" fontId="13" fillId="3" borderId="10" xfId="7" applyNumberFormat="1" applyFont="1" applyFill="1" applyBorder="1" applyAlignment="1">
      <alignment horizontal="center" vertical="center" wrapText="1"/>
    </xf>
    <xf numFmtId="164" fontId="13" fillId="3" borderId="5" xfId="7" applyNumberFormat="1" applyFont="1" applyFill="1" applyBorder="1" applyAlignment="1">
      <alignment horizontal="center" vertical="center" wrapText="1"/>
    </xf>
  </cellXfs>
  <cellStyles count="12">
    <cellStyle name="Comma 2" xfId="4" xr:uid="{00000000-0005-0000-0000-000000000000}"/>
    <cellStyle name="Hipervínculo" xfId="11" builtinId="8"/>
    <cellStyle name="Millares" xfId="2" builtinId="3"/>
    <cellStyle name="Millares [0]" xfId="8" builtinId="6"/>
    <cellStyle name="Millares 3" xfId="6" xr:uid="{00000000-0005-0000-0000-000003000000}"/>
    <cellStyle name="Moneda [0]" xfId="9" builtinId="7"/>
    <cellStyle name="Normal" xfId="0" builtinId="0"/>
    <cellStyle name="Normal 2" xfId="1" xr:uid="{00000000-0005-0000-0000-000007000000}"/>
    <cellStyle name="Normal 2 2" xfId="5" xr:uid="{00000000-0005-0000-0000-000008000000}"/>
    <cellStyle name="Normal 2 2 3" xfId="10" xr:uid="{00000000-0005-0000-0000-000009000000}"/>
    <cellStyle name="Normal 2 3" xfId="7" xr:uid="{00000000-0005-0000-0000-00000A000000}"/>
    <cellStyle name="Porcentaje" xfId="3" builtinId="5"/>
  </cellStyles>
  <dxfs count="0"/>
  <tableStyles count="0" defaultTableStyle="TableStyleMedium2"/>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12</xdr:col>
      <xdr:colOff>547935</xdr:colOff>
      <xdr:row>42</xdr:row>
      <xdr:rowOff>8659</xdr:rowOff>
    </xdr:from>
    <xdr:to>
      <xdr:col>16</xdr:col>
      <xdr:colOff>21167</xdr:colOff>
      <xdr:row>47</xdr:row>
      <xdr:rowOff>84667</xdr:rowOff>
    </xdr:to>
    <xdr:sp macro="" textlink="">
      <xdr:nvSpPr>
        <xdr:cNvPr id="3" name="Speech Bubble: Rectangle 2">
          <a:extLst>
            <a:ext uri="{FF2B5EF4-FFF2-40B4-BE49-F238E27FC236}">
              <a16:creationId xmlns:a16="http://schemas.microsoft.com/office/drawing/2014/main" id="{00000000-0008-0000-0000-000003000000}"/>
            </a:ext>
          </a:extLst>
        </xdr:cNvPr>
        <xdr:cNvSpPr/>
      </xdr:nvSpPr>
      <xdr:spPr>
        <a:xfrm>
          <a:off x="12644685" y="8708159"/>
          <a:ext cx="2997482" cy="869758"/>
        </a:xfrm>
        <a:prstGeom prst="wedgeRectCallout">
          <a:avLst>
            <a:gd name="adj1" fmla="val -75225"/>
            <a:gd name="adj2" fmla="val -25099"/>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Desde</a:t>
          </a:r>
          <a:r>
            <a:rPr lang="es-CL" sz="1000" baseline="0">
              <a:solidFill>
                <a:schemeClr val="tx1"/>
              </a:solidFill>
              <a:latin typeface="Arial"/>
            </a:rPr>
            <a:t> la tabla de amortización, proporcionada por el Banco, se extrajo que del total de la cuota pagada ($500.000) el monto de capital ascendía a $220.000 y los intereses a $280.000.</a:t>
          </a:r>
          <a:endParaRPr lang="es-CL" sz="1000">
            <a:solidFill>
              <a:schemeClr val="tx1"/>
            </a:solidFill>
            <a:latin typeface="Arial"/>
          </a:endParaRPr>
        </a:p>
      </xdr:txBody>
    </xdr:sp>
    <xdr:clientData/>
  </xdr:twoCellAnchor>
  <xdr:twoCellAnchor>
    <xdr:from>
      <xdr:col>7</xdr:col>
      <xdr:colOff>643657</xdr:colOff>
      <xdr:row>73</xdr:row>
      <xdr:rowOff>156634</xdr:rowOff>
    </xdr:from>
    <xdr:to>
      <xdr:col>10</xdr:col>
      <xdr:colOff>804333</xdr:colOff>
      <xdr:row>79</xdr:row>
      <xdr:rowOff>45446</xdr:rowOff>
    </xdr:to>
    <xdr:sp macro="" textlink="">
      <xdr:nvSpPr>
        <xdr:cNvPr id="6" name="Speech Bubble: Rectangle 5">
          <a:extLst>
            <a:ext uri="{FF2B5EF4-FFF2-40B4-BE49-F238E27FC236}">
              <a16:creationId xmlns:a16="http://schemas.microsoft.com/office/drawing/2014/main" id="{00000000-0008-0000-0000-000006000000}"/>
            </a:ext>
          </a:extLst>
        </xdr:cNvPr>
        <xdr:cNvSpPr/>
      </xdr:nvSpPr>
      <xdr:spPr>
        <a:xfrm>
          <a:off x="7670990" y="14116051"/>
          <a:ext cx="2690093" cy="1052978"/>
        </a:xfrm>
        <a:prstGeom prst="wedgeRectCallout">
          <a:avLst>
            <a:gd name="adj1" fmla="val -70490"/>
            <a:gd name="adj2" fmla="val 35780"/>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El monto del reajuste del PPM ascendió a $811 </a:t>
          </a:r>
          <a:r>
            <a:rPr lang="es-CL" sz="1000">
              <a:solidFill>
                <a:schemeClr val="tx1"/>
              </a:solidFill>
              <a:effectLst/>
              <a:latin typeface="Arial"/>
              <a:ea typeface="+mn-ea"/>
              <a:cs typeface="+mn-cs"/>
            </a:rPr>
            <a:t>($270.811 - $270.000)</a:t>
          </a:r>
          <a:r>
            <a:rPr lang="es-CL" sz="1000">
              <a:solidFill>
                <a:schemeClr val="tx1"/>
              </a:solidFill>
              <a:latin typeface="Arial"/>
            </a:rPr>
            <a:t> el cual debe ser reconocido en la BI </a:t>
          </a:r>
          <a:r>
            <a:rPr lang="es-CL" sz="1000" baseline="0">
              <a:solidFill>
                <a:schemeClr val="tx1"/>
              </a:solidFill>
              <a:latin typeface="Arial"/>
            </a:rPr>
            <a:t>determinada</a:t>
          </a:r>
          <a:r>
            <a:rPr lang="es-CL" sz="1000">
              <a:solidFill>
                <a:schemeClr val="tx1"/>
              </a:solidFill>
              <a:latin typeface="Arial"/>
            </a:rPr>
            <a:t> al 31 de diciembre del 2025.</a:t>
          </a:r>
        </a:p>
      </xdr:txBody>
    </xdr:sp>
    <xdr:clientData/>
  </xdr:twoCellAnchor>
  <xdr:twoCellAnchor>
    <xdr:from>
      <xdr:col>12</xdr:col>
      <xdr:colOff>626535</xdr:colOff>
      <xdr:row>11</xdr:row>
      <xdr:rowOff>89027</xdr:rowOff>
    </xdr:from>
    <xdr:to>
      <xdr:col>15</xdr:col>
      <xdr:colOff>762001</xdr:colOff>
      <xdr:row>15</xdr:row>
      <xdr:rowOff>91018</xdr:rowOff>
    </xdr:to>
    <xdr:sp macro="" textlink="">
      <xdr:nvSpPr>
        <xdr:cNvPr id="8" name="Speech Bubble: Rectangle 4">
          <a:extLst>
            <a:ext uri="{FF2B5EF4-FFF2-40B4-BE49-F238E27FC236}">
              <a16:creationId xmlns:a16="http://schemas.microsoft.com/office/drawing/2014/main" id="{00000000-0008-0000-0000-000008000000}"/>
            </a:ext>
          </a:extLst>
        </xdr:cNvPr>
        <xdr:cNvSpPr/>
      </xdr:nvSpPr>
      <xdr:spPr>
        <a:xfrm>
          <a:off x="11982452" y="2629027"/>
          <a:ext cx="2865966" cy="869824"/>
        </a:xfrm>
        <a:prstGeom prst="wedgeRectCallout">
          <a:avLst>
            <a:gd name="adj1" fmla="val -104452"/>
            <a:gd name="adj2" fmla="val 64531"/>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La</a:t>
          </a:r>
          <a:r>
            <a:rPr lang="es-CL" sz="1000" baseline="0">
              <a:solidFill>
                <a:schemeClr val="tx1"/>
              </a:solidFill>
              <a:latin typeface="Arial"/>
            </a:rPr>
            <a:t> norma señala que las ventas a un relacionado que tribute bajo las normas de la letra A) del artículo 14 de la LIR se reconocerán en el ejercicio de su devengo.</a:t>
          </a:r>
          <a:endParaRPr lang="es-CL" sz="1000">
            <a:solidFill>
              <a:schemeClr val="tx1"/>
            </a:solidFill>
            <a:latin typeface="Arial"/>
          </a:endParaRPr>
        </a:p>
      </xdr:txBody>
    </xdr:sp>
    <xdr:clientData/>
  </xdr:twoCellAnchor>
  <xdr:twoCellAnchor>
    <xdr:from>
      <xdr:col>12</xdr:col>
      <xdr:colOff>702234</xdr:colOff>
      <xdr:row>23</xdr:row>
      <xdr:rowOff>275167</xdr:rowOff>
    </xdr:from>
    <xdr:to>
      <xdr:col>16</xdr:col>
      <xdr:colOff>42333</xdr:colOff>
      <xdr:row>29</xdr:row>
      <xdr:rowOff>43455</xdr:rowOff>
    </xdr:to>
    <xdr:sp macro="" textlink="">
      <xdr:nvSpPr>
        <xdr:cNvPr id="11" name="Speech Bubble: Rectangle 4">
          <a:extLst>
            <a:ext uri="{FF2B5EF4-FFF2-40B4-BE49-F238E27FC236}">
              <a16:creationId xmlns:a16="http://schemas.microsoft.com/office/drawing/2014/main" id="{00000000-0008-0000-0000-00000B000000}"/>
            </a:ext>
          </a:extLst>
        </xdr:cNvPr>
        <xdr:cNvSpPr/>
      </xdr:nvSpPr>
      <xdr:spPr>
        <a:xfrm>
          <a:off x="12058151" y="5281084"/>
          <a:ext cx="2864349" cy="964204"/>
        </a:xfrm>
        <a:prstGeom prst="wedgeRectCallout">
          <a:avLst>
            <a:gd name="adj1" fmla="val -75727"/>
            <a:gd name="adj2" fmla="val 55067"/>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En</a:t>
          </a:r>
          <a:r>
            <a:rPr lang="es-CL" sz="1000" baseline="0">
              <a:solidFill>
                <a:schemeClr val="tx1"/>
              </a:solidFill>
              <a:latin typeface="Arial"/>
            </a:rPr>
            <a:t> el registro SAC los créditos por los dividendos percibidos se registran históricos, razón por la cual al extraer los créditos desde la DJ 1948 dicho crédito debe ser deflactado. </a:t>
          </a:r>
          <a:endParaRPr lang="es-CL" sz="1000">
            <a:solidFill>
              <a:schemeClr val="tx1"/>
            </a:solidFill>
            <a:latin typeface="Arial"/>
          </a:endParaRPr>
        </a:p>
      </xdr:txBody>
    </xdr:sp>
    <xdr:clientData/>
  </xdr:twoCellAnchor>
  <xdr:twoCellAnchor>
    <xdr:from>
      <xdr:col>12</xdr:col>
      <xdr:colOff>553320</xdr:colOff>
      <xdr:row>33</xdr:row>
      <xdr:rowOff>272926</xdr:rowOff>
    </xdr:from>
    <xdr:to>
      <xdr:col>16</xdr:col>
      <xdr:colOff>31750</xdr:colOff>
      <xdr:row>39</xdr:row>
      <xdr:rowOff>44823</xdr:rowOff>
    </xdr:to>
    <xdr:sp macro="" textlink="">
      <xdr:nvSpPr>
        <xdr:cNvPr id="15" name="Speech Bubble: Rectangle 17">
          <a:extLst>
            <a:ext uri="{FF2B5EF4-FFF2-40B4-BE49-F238E27FC236}">
              <a16:creationId xmlns:a16="http://schemas.microsoft.com/office/drawing/2014/main" id="{00000000-0008-0000-0000-00000F000000}"/>
            </a:ext>
          </a:extLst>
        </xdr:cNvPr>
        <xdr:cNvSpPr/>
      </xdr:nvSpPr>
      <xdr:spPr>
        <a:xfrm>
          <a:off x="12650070" y="7374343"/>
          <a:ext cx="3002680" cy="893730"/>
        </a:xfrm>
        <a:prstGeom prst="wedgeRectCallout">
          <a:avLst>
            <a:gd name="adj1" fmla="val -76499"/>
            <a:gd name="adj2" fmla="val 108901"/>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Dado</a:t>
          </a:r>
          <a:r>
            <a:rPr lang="es-CL" sz="1000" baseline="0">
              <a:solidFill>
                <a:schemeClr val="tx1"/>
              </a:solidFill>
              <a:latin typeface="Arial"/>
            </a:rPr>
            <a:t> que </a:t>
          </a:r>
          <a:r>
            <a:rPr lang="es-CL" sz="1000" baseline="0">
              <a:solidFill>
                <a:schemeClr val="tx1"/>
              </a:solidFill>
              <a:latin typeface="Arial"/>
              <a:ea typeface="+mn-ea"/>
              <a:cs typeface="+mn-cs"/>
            </a:rPr>
            <a:t>corresponde a gastos, compras o servicios del año 2024 y éstos no fueron reconocidos como gasto en la BI en ese año, deben ser rebajados de la BI del año 2025.</a:t>
          </a:r>
        </a:p>
      </xdr:txBody>
    </xdr:sp>
    <xdr:clientData/>
  </xdr:twoCellAnchor>
  <xdr:twoCellAnchor>
    <xdr:from>
      <xdr:col>12</xdr:col>
      <xdr:colOff>620433</xdr:colOff>
      <xdr:row>16</xdr:row>
      <xdr:rowOff>63500</xdr:rowOff>
    </xdr:from>
    <xdr:to>
      <xdr:col>15</xdr:col>
      <xdr:colOff>762000</xdr:colOff>
      <xdr:row>19</xdr:row>
      <xdr:rowOff>116417</xdr:rowOff>
    </xdr:to>
    <xdr:sp macro="" textlink="">
      <xdr:nvSpPr>
        <xdr:cNvPr id="17" name="Speech Bubble: Rectangle 16">
          <a:extLst>
            <a:ext uri="{FF2B5EF4-FFF2-40B4-BE49-F238E27FC236}">
              <a16:creationId xmlns:a16="http://schemas.microsoft.com/office/drawing/2014/main" id="{00000000-0008-0000-0000-000011000000}"/>
            </a:ext>
          </a:extLst>
        </xdr:cNvPr>
        <xdr:cNvSpPr/>
      </xdr:nvSpPr>
      <xdr:spPr>
        <a:xfrm>
          <a:off x="11976350" y="3630083"/>
          <a:ext cx="2872067" cy="613834"/>
        </a:xfrm>
        <a:prstGeom prst="wedgeRectCallout">
          <a:avLst>
            <a:gd name="adj1" fmla="val -74005"/>
            <a:gd name="adj2" fmla="val -19804"/>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Ingreso devengado </a:t>
          </a:r>
          <a:r>
            <a:rPr lang="es-CL" sz="1000" baseline="0">
              <a:solidFill>
                <a:schemeClr val="tx1"/>
              </a:solidFill>
              <a:latin typeface="Arial"/>
            </a:rPr>
            <a:t>en el año 2024, el cual debe reconocerse en el año 2025 por haberse percibido.</a:t>
          </a:r>
          <a:endParaRPr lang="es-CL" sz="1000">
            <a:solidFill>
              <a:schemeClr val="tx1"/>
            </a:solidFill>
            <a:latin typeface="Arial"/>
          </a:endParaRPr>
        </a:p>
      </xdr:txBody>
    </xdr:sp>
    <xdr:clientData/>
  </xdr:twoCellAnchor>
  <xdr:twoCellAnchor>
    <xdr:from>
      <xdr:col>12</xdr:col>
      <xdr:colOff>588309</xdr:colOff>
      <xdr:row>5</xdr:row>
      <xdr:rowOff>179917</xdr:rowOff>
    </xdr:from>
    <xdr:to>
      <xdr:col>15</xdr:col>
      <xdr:colOff>740833</xdr:colOff>
      <xdr:row>6</xdr:row>
      <xdr:rowOff>539750</xdr:rowOff>
    </xdr:to>
    <xdr:sp macro="" textlink="">
      <xdr:nvSpPr>
        <xdr:cNvPr id="2" name="Bocadillo: rectángulo 1">
          <a:extLst>
            <a:ext uri="{FF2B5EF4-FFF2-40B4-BE49-F238E27FC236}">
              <a16:creationId xmlns:a16="http://schemas.microsoft.com/office/drawing/2014/main" id="{ED55A8D2-A314-41AD-9278-E808F4FFDCDC}"/>
            </a:ext>
          </a:extLst>
        </xdr:cNvPr>
        <xdr:cNvSpPr/>
      </xdr:nvSpPr>
      <xdr:spPr>
        <a:xfrm>
          <a:off x="11944226" y="1185334"/>
          <a:ext cx="2883024" cy="550333"/>
        </a:xfrm>
        <a:prstGeom prst="wedgeRectCallout">
          <a:avLst>
            <a:gd name="adj1" fmla="val -74343"/>
            <a:gd name="adj2" fmla="val -1037"/>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A</a:t>
          </a:r>
          <a:r>
            <a:rPr lang="es-CL" sz="1000" baseline="0">
              <a:solidFill>
                <a:schemeClr val="tx1"/>
              </a:solidFill>
              <a:latin typeface="Arial"/>
            </a:rPr>
            <a:t> partir del año comercial 2020 no se actualiza.</a:t>
          </a:r>
          <a:endParaRPr lang="es-CL" sz="1000">
            <a:solidFill>
              <a:schemeClr val="tx1"/>
            </a:solidFill>
            <a:latin typeface="Aria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19</xdr:col>
      <xdr:colOff>116416</xdr:colOff>
      <xdr:row>0</xdr:row>
      <xdr:rowOff>158750</xdr:rowOff>
    </xdr:from>
    <xdr:to>
      <xdr:col>20</xdr:col>
      <xdr:colOff>586316</xdr:colOff>
      <xdr:row>3</xdr:row>
      <xdr:rowOff>9525</xdr:rowOff>
    </xdr:to>
    <xdr:pic>
      <xdr:nvPicPr>
        <xdr:cNvPr id="2" name="Imagen 2" descr="logo_sii">
          <a:extLst>
            <a:ext uri="{FF2B5EF4-FFF2-40B4-BE49-F238E27FC236}">
              <a16:creationId xmlns:a16="http://schemas.microsoft.com/office/drawing/2014/main" id="{B51A40AB-EE26-4B1E-A3F8-A6A5005C880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96583" y="158750"/>
          <a:ext cx="1231900" cy="51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1460500</xdr:colOff>
      <xdr:row>13</xdr:row>
      <xdr:rowOff>27303</xdr:rowOff>
    </xdr:from>
    <xdr:to>
      <xdr:col>4</xdr:col>
      <xdr:colOff>74083</xdr:colOff>
      <xdr:row>18</xdr:row>
      <xdr:rowOff>21167</xdr:rowOff>
    </xdr:to>
    <xdr:sp macro="" textlink="">
      <xdr:nvSpPr>
        <xdr:cNvPr id="2" name="Speech Bubble: Rectangle 1">
          <a:extLst>
            <a:ext uri="{FF2B5EF4-FFF2-40B4-BE49-F238E27FC236}">
              <a16:creationId xmlns:a16="http://schemas.microsoft.com/office/drawing/2014/main" id="{00000000-0008-0000-0B00-000002000000}"/>
            </a:ext>
          </a:extLst>
        </xdr:cNvPr>
        <xdr:cNvSpPr/>
      </xdr:nvSpPr>
      <xdr:spPr>
        <a:xfrm>
          <a:off x="1619250" y="3424553"/>
          <a:ext cx="2487083" cy="787614"/>
        </a:xfrm>
        <a:prstGeom prst="wedgeRectCallout">
          <a:avLst>
            <a:gd name="adj1" fmla="val -17308"/>
            <a:gd name="adj2" fmla="val -97853"/>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L" sz="1000">
              <a:solidFill>
                <a:schemeClr val="tx1"/>
              </a:solidFill>
              <a:latin typeface="Arial"/>
            </a:rPr>
            <a:t>Tanto</a:t>
          </a:r>
          <a:r>
            <a:rPr lang="es-CL" sz="1000" baseline="0">
              <a:solidFill>
                <a:schemeClr val="tx1"/>
              </a:solidFill>
              <a:latin typeface="Arial"/>
            </a:rPr>
            <a:t> las rentas afectas a impuestos finales como los créditos asociados deben ser informados actualizados en la Declaración Jurada N° 1948. </a:t>
          </a:r>
          <a:endParaRPr lang="es-CL" sz="1000">
            <a:solidFill>
              <a:schemeClr val="tx1"/>
            </a:solidFill>
            <a:latin typeface="Aria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1</xdr:row>
      <xdr:rowOff>152400</xdr:rowOff>
    </xdr:from>
    <xdr:to>
      <xdr:col>2</xdr:col>
      <xdr:colOff>361950</xdr:colOff>
      <xdr:row>3</xdr:row>
      <xdr:rowOff>133350</xdr:rowOff>
    </xdr:to>
    <xdr:pic>
      <xdr:nvPicPr>
        <xdr:cNvPr id="2" name="Imagen 1" descr="cid:image001.png@01CFC04E.66BC1CE0">
          <a:extLst>
            <a:ext uri="{FF2B5EF4-FFF2-40B4-BE49-F238E27FC236}">
              <a16:creationId xmlns:a16="http://schemas.microsoft.com/office/drawing/2014/main" id="{C23DFF58-E060-4194-B0DF-92220CD1EB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342900"/>
          <a:ext cx="14382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xdr:row>
      <xdr:rowOff>152400</xdr:rowOff>
    </xdr:from>
    <xdr:to>
      <xdr:col>2</xdr:col>
      <xdr:colOff>361950</xdr:colOff>
      <xdr:row>3</xdr:row>
      <xdr:rowOff>133350</xdr:rowOff>
    </xdr:to>
    <xdr:pic>
      <xdr:nvPicPr>
        <xdr:cNvPr id="3" name="Imagen 2" descr="cid:image001.png@01CFC04E.66BC1CE0">
          <a:extLst>
            <a:ext uri="{FF2B5EF4-FFF2-40B4-BE49-F238E27FC236}">
              <a16:creationId xmlns:a16="http://schemas.microsoft.com/office/drawing/2014/main" id="{994D5FAD-2EEA-4C84-AEF1-83F0C6BFC1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23850" y="342900"/>
          <a:ext cx="14382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340181</xdr:colOff>
      <xdr:row>24</xdr:row>
      <xdr:rowOff>84670</xdr:rowOff>
    </xdr:from>
    <xdr:to>
      <xdr:col>15</xdr:col>
      <xdr:colOff>349249</xdr:colOff>
      <xdr:row>26</xdr:row>
      <xdr:rowOff>107380</xdr:rowOff>
    </xdr:to>
    <xdr:sp macro="" textlink="">
      <xdr:nvSpPr>
        <xdr:cNvPr id="5" name="Bocadillo: rectángulo 4">
          <a:extLst>
            <a:ext uri="{FF2B5EF4-FFF2-40B4-BE49-F238E27FC236}">
              <a16:creationId xmlns:a16="http://schemas.microsoft.com/office/drawing/2014/main" id="{6942CC3E-840F-A9D1-8F66-FBC35B838455}"/>
            </a:ext>
          </a:extLst>
        </xdr:cNvPr>
        <xdr:cNvSpPr/>
      </xdr:nvSpPr>
      <xdr:spPr>
        <a:xfrm rot="5400000">
          <a:off x="11075444" y="3044241"/>
          <a:ext cx="403710" cy="3797901"/>
        </a:xfrm>
        <a:prstGeom prst="wedgeRectCallout">
          <a:avLst>
            <a:gd name="adj1" fmla="val 167340"/>
            <a:gd name="adj2" fmla="val 68580"/>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endParaRPr lang="es-CL" sz="1100"/>
        </a:p>
      </xdr:txBody>
    </xdr:sp>
    <xdr:clientData/>
  </xdr:twoCellAnchor>
  <xdr:twoCellAnchor>
    <xdr:from>
      <xdr:col>11</xdr:col>
      <xdr:colOff>338667</xdr:colOff>
      <xdr:row>21</xdr:row>
      <xdr:rowOff>78068</xdr:rowOff>
    </xdr:from>
    <xdr:to>
      <xdr:col>15</xdr:col>
      <xdr:colOff>359834</xdr:colOff>
      <xdr:row>23</xdr:row>
      <xdr:rowOff>148167</xdr:rowOff>
    </xdr:to>
    <xdr:sp macro="" textlink="">
      <xdr:nvSpPr>
        <xdr:cNvPr id="3" name="Speech Bubble: Rectangle 2">
          <a:extLst>
            <a:ext uri="{FF2B5EF4-FFF2-40B4-BE49-F238E27FC236}">
              <a16:creationId xmlns:a16="http://schemas.microsoft.com/office/drawing/2014/main" id="{00000000-0008-0000-0200-000003000000}"/>
            </a:ext>
          </a:extLst>
        </xdr:cNvPr>
        <xdr:cNvSpPr/>
      </xdr:nvSpPr>
      <xdr:spPr>
        <a:xfrm>
          <a:off x="9376834" y="4184401"/>
          <a:ext cx="3810000" cy="451099"/>
        </a:xfrm>
        <a:prstGeom prst="wedgeRectCallout">
          <a:avLst>
            <a:gd name="adj1" fmla="val -66759"/>
            <a:gd name="adj2" fmla="val 42458"/>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baseline="0">
              <a:solidFill>
                <a:schemeClr val="tx1"/>
              </a:solidFill>
              <a:latin typeface="Arial"/>
            </a:rPr>
            <a:t>En la Base Imponible se  debe deducir el interés y reajuste pagados por cada cuota del o los créditos.</a:t>
          </a:r>
          <a:endParaRPr lang="es-CL" sz="1000">
            <a:solidFill>
              <a:schemeClr val="tx1"/>
            </a:solidFill>
            <a:latin typeface="Arial"/>
          </a:endParaRPr>
        </a:p>
      </xdr:txBody>
    </xdr:sp>
    <xdr:clientData/>
  </xdr:twoCellAnchor>
  <xdr:twoCellAnchor>
    <xdr:from>
      <xdr:col>11</xdr:col>
      <xdr:colOff>350994</xdr:colOff>
      <xdr:row>24</xdr:row>
      <xdr:rowOff>92761</xdr:rowOff>
    </xdr:from>
    <xdr:to>
      <xdr:col>15</xdr:col>
      <xdr:colOff>370417</xdr:colOff>
      <xdr:row>26</xdr:row>
      <xdr:rowOff>105835</xdr:rowOff>
    </xdr:to>
    <xdr:sp macro="" textlink="">
      <xdr:nvSpPr>
        <xdr:cNvPr id="4" name="Speech Bubble: Rectangle 3">
          <a:extLst>
            <a:ext uri="{FF2B5EF4-FFF2-40B4-BE49-F238E27FC236}">
              <a16:creationId xmlns:a16="http://schemas.microsoft.com/office/drawing/2014/main" id="{00000000-0008-0000-0200-000004000000}"/>
            </a:ext>
          </a:extLst>
        </xdr:cNvPr>
        <xdr:cNvSpPr/>
      </xdr:nvSpPr>
      <xdr:spPr>
        <a:xfrm>
          <a:off x="9389161" y="4749428"/>
          <a:ext cx="3808256" cy="394074"/>
        </a:xfrm>
        <a:prstGeom prst="wedgeRectCallout">
          <a:avLst>
            <a:gd name="adj1" fmla="val -70820"/>
            <a:gd name="adj2" fmla="val -27796"/>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Partidas</a:t>
          </a:r>
          <a:r>
            <a:rPr lang="es-CL" sz="1000" baseline="0">
              <a:solidFill>
                <a:schemeClr val="tx1"/>
              </a:solidFill>
              <a:latin typeface="Arial"/>
            </a:rPr>
            <a:t> del inciso segundo del artículo 21 de la LIR que en primera instancia se deducen pero posteriormente se agregan.</a:t>
          </a:r>
          <a:endParaRPr lang="es-CL" sz="1000">
            <a:solidFill>
              <a:schemeClr val="tx1"/>
            </a:solidFill>
            <a:latin typeface="Arial"/>
          </a:endParaRPr>
        </a:p>
      </xdr:txBody>
    </xdr:sp>
    <xdr:clientData/>
  </xdr:twoCellAnchor>
  <xdr:twoCellAnchor>
    <xdr:from>
      <xdr:col>11</xdr:col>
      <xdr:colOff>306917</xdr:colOff>
      <xdr:row>3</xdr:row>
      <xdr:rowOff>169332</xdr:rowOff>
    </xdr:from>
    <xdr:to>
      <xdr:col>15</xdr:col>
      <xdr:colOff>402168</xdr:colOff>
      <xdr:row>7</xdr:row>
      <xdr:rowOff>158749</xdr:rowOff>
    </xdr:to>
    <xdr:sp macro="" textlink="">
      <xdr:nvSpPr>
        <xdr:cNvPr id="6" name="Speech Bubble: Rectangle 5">
          <a:extLst>
            <a:ext uri="{FF2B5EF4-FFF2-40B4-BE49-F238E27FC236}">
              <a16:creationId xmlns:a16="http://schemas.microsoft.com/office/drawing/2014/main" id="{00000000-0008-0000-0200-000006000000}"/>
            </a:ext>
          </a:extLst>
        </xdr:cNvPr>
        <xdr:cNvSpPr/>
      </xdr:nvSpPr>
      <xdr:spPr>
        <a:xfrm>
          <a:off x="9345084" y="804332"/>
          <a:ext cx="3884084" cy="751417"/>
        </a:xfrm>
        <a:prstGeom prst="wedgeRectCallout">
          <a:avLst>
            <a:gd name="adj1" fmla="val -65831"/>
            <a:gd name="adj2" fmla="val -7080"/>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Aun cuando no se haya recibido el pago de la factura</a:t>
          </a:r>
          <a:r>
            <a:rPr lang="es-CL" sz="1000" baseline="0">
              <a:solidFill>
                <a:schemeClr val="tx1"/>
              </a:solidFill>
              <a:latin typeface="Arial"/>
            </a:rPr>
            <a:t> de venta, se debe reconocer el ingreso por cuanto esta operacón se ha efectuado con una parte relacionada sujeta al régimen del artículo 14 letra A) de la LIR.</a:t>
          </a:r>
          <a:endParaRPr lang="es-CL" sz="1000">
            <a:solidFill>
              <a:schemeClr val="tx1"/>
            </a:solidFill>
            <a:latin typeface="Arial"/>
          </a:endParaRPr>
        </a:p>
      </xdr:txBody>
    </xdr:sp>
    <xdr:clientData/>
  </xdr:twoCellAnchor>
  <xdr:twoCellAnchor>
    <xdr:from>
      <xdr:col>11</xdr:col>
      <xdr:colOff>338666</xdr:colOff>
      <xdr:row>10</xdr:row>
      <xdr:rowOff>21167</xdr:rowOff>
    </xdr:from>
    <xdr:to>
      <xdr:col>15</xdr:col>
      <xdr:colOff>381000</xdr:colOff>
      <xdr:row>13</xdr:row>
      <xdr:rowOff>10584</xdr:rowOff>
    </xdr:to>
    <xdr:sp macro="" textlink="">
      <xdr:nvSpPr>
        <xdr:cNvPr id="10" name="Speech Bubble: Rectangle 5">
          <a:extLst>
            <a:ext uri="{FF2B5EF4-FFF2-40B4-BE49-F238E27FC236}">
              <a16:creationId xmlns:a16="http://schemas.microsoft.com/office/drawing/2014/main" id="{00000000-0008-0000-0200-00000A000000}"/>
            </a:ext>
          </a:extLst>
        </xdr:cNvPr>
        <xdr:cNvSpPr/>
      </xdr:nvSpPr>
      <xdr:spPr>
        <a:xfrm>
          <a:off x="9376833" y="1989667"/>
          <a:ext cx="3831167" cy="560917"/>
        </a:xfrm>
        <a:prstGeom prst="wedgeRectCallout">
          <a:avLst>
            <a:gd name="adj1" fmla="val -64137"/>
            <a:gd name="adj2" fmla="val 31839"/>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El monto del reajuste del PPM ascendió a $811 ($270.811</a:t>
          </a:r>
          <a:r>
            <a:rPr lang="es-CL" sz="1000" baseline="0">
              <a:solidFill>
                <a:schemeClr val="tx1"/>
              </a:solidFill>
              <a:latin typeface="Arial"/>
            </a:rPr>
            <a:t> - $270.000</a:t>
          </a:r>
          <a:r>
            <a:rPr lang="es-CL" sz="1000">
              <a:solidFill>
                <a:schemeClr val="tx1"/>
              </a:solidFill>
              <a:effectLst/>
              <a:latin typeface="Arial"/>
              <a:ea typeface="+mn-ea"/>
              <a:cs typeface="+mn-cs"/>
            </a:rPr>
            <a:t>)</a:t>
          </a:r>
          <a:r>
            <a:rPr lang="es-CL" sz="1000">
              <a:solidFill>
                <a:schemeClr val="tx1"/>
              </a:solidFill>
              <a:latin typeface="Arial"/>
            </a:rPr>
            <a:t> el cual debe ser reconocido en la Base</a:t>
          </a:r>
          <a:r>
            <a:rPr lang="es-CL" sz="1000" baseline="0">
              <a:solidFill>
                <a:schemeClr val="tx1"/>
              </a:solidFill>
              <a:latin typeface="Arial"/>
            </a:rPr>
            <a:t> Imponible determinada</a:t>
          </a:r>
          <a:r>
            <a:rPr lang="es-CL" sz="1000">
              <a:solidFill>
                <a:schemeClr val="tx1"/>
              </a:solidFill>
              <a:latin typeface="Arial"/>
            </a:rPr>
            <a:t> al 31 de diciembre del 2025.</a:t>
          </a:r>
        </a:p>
      </xdr:txBody>
    </xdr:sp>
    <xdr:clientData/>
  </xdr:twoCellAnchor>
  <xdr:twoCellAnchor>
    <xdr:from>
      <xdr:col>11</xdr:col>
      <xdr:colOff>306917</xdr:colOff>
      <xdr:row>0</xdr:row>
      <xdr:rowOff>137583</xdr:rowOff>
    </xdr:from>
    <xdr:to>
      <xdr:col>15</xdr:col>
      <xdr:colOff>391583</xdr:colOff>
      <xdr:row>3</xdr:row>
      <xdr:rowOff>105833</xdr:rowOff>
    </xdr:to>
    <xdr:sp macro="" textlink="">
      <xdr:nvSpPr>
        <xdr:cNvPr id="12" name="Speech Bubble: Rectangle 5">
          <a:extLst>
            <a:ext uri="{FF2B5EF4-FFF2-40B4-BE49-F238E27FC236}">
              <a16:creationId xmlns:a16="http://schemas.microsoft.com/office/drawing/2014/main" id="{00000000-0008-0000-0200-00000C000000}"/>
            </a:ext>
          </a:extLst>
        </xdr:cNvPr>
        <xdr:cNvSpPr/>
      </xdr:nvSpPr>
      <xdr:spPr>
        <a:xfrm>
          <a:off x="9345084" y="137583"/>
          <a:ext cx="3873499" cy="603250"/>
        </a:xfrm>
        <a:prstGeom prst="wedgeRectCallout">
          <a:avLst>
            <a:gd name="adj1" fmla="val -62991"/>
            <a:gd name="adj2" fmla="val 1116"/>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En lo que resulte pertinente la Información</a:t>
          </a:r>
          <a:r>
            <a:rPr lang="es-CL" sz="1000" baseline="0">
              <a:solidFill>
                <a:schemeClr val="tx1"/>
              </a:solidFill>
              <a:latin typeface="Arial"/>
            </a:rPr>
            <a:t> es</a:t>
          </a:r>
          <a:r>
            <a:rPr lang="es-CL" sz="1000">
              <a:solidFill>
                <a:schemeClr val="tx1"/>
              </a:solidFill>
              <a:latin typeface="Arial"/>
            </a:rPr>
            <a:t> extraída del Registro electrónico de compras y ventas, contenido en</a:t>
          </a:r>
          <a:r>
            <a:rPr lang="es-CL" sz="1000" baseline="0">
              <a:solidFill>
                <a:schemeClr val="tx1"/>
              </a:solidFill>
              <a:latin typeface="Arial"/>
            </a:rPr>
            <a:t> el DL N° 825/1974</a:t>
          </a:r>
          <a:r>
            <a:rPr lang="es-CL" sz="1000">
              <a:solidFill>
                <a:schemeClr val="tx1"/>
              </a:solidFill>
              <a:latin typeface="Arial"/>
            </a:rPr>
            <a:t> y complementado</a:t>
          </a:r>
          <a:r>
            <a:rPr lang="es-CL" sz="1000" baseline="0">
              <a:solidFill>
                <a:schemeClr val="tx1"/>
              </a:solidFill>
              <a:latin typeface="Arial"/>
            </a:rPr>
            <a:t> y/o ajustado por el contribuyente.</a:t>
          </a:r>
          <a:endParaRPr lang="es-CL" sz="1000">
            <a:solidFill>
              <a:schemeClr val="tx1"/>
            </a:solidFill>
            <a:latin typeface="Arial"/>
          </a:endParaRPr>
        </a:p>
      </xdr:txBody>
    </xdr:sp>
    <xdr:clientData/>
  </xdr:twoCellAnchor>
  <xdr:twoCellAnchor>
    <xdr:from>
      <xdr:col>0</xdr:col>
      <xdr:colOff>285750</xdr:colOff>
      <xdr:row>48</xdr:row>
      <xdr:rowOff>187327</xdr:rowOff>
    </xdr:from>
    <xdr:to>
      <xdr:col>8</xdr:col>
      <xdr:colOff>613834</xdr:colOff>
      <xdr:row>54</xdr:row>
      <xdr:rowOff>116417</xdr:rowOff>
    </xdr:to>
    <xdr:sp macro="" textlink="">
      <xdr:nvSpPr>
        <xdr:cNvPr id="15" name="Speech Bubble: Rectangle 1">
          <a:extLst>
            <a:ext uri="{FF2B5EF4-FFF2-40B4-BE49-F238E27FC236}">
              <a16:creationId xmlns:a16="http://schemas.microsoft.com/office/drawing/2014/main" id="{00000000-0008-0000-0200-00000F000000}"/>
            </a:ext>
          </a:extLst>
        </xdr:cNvPr>
        <xdr:cNvSpPr/>
      </xdr:nvSpPr>
      <xdr:spPr>
        <a:xfrm>
          <a:off x="285750" y="9617077"/>
          <a:ext cx="5979584" cy="1072090"/>
        </a:xfrm>
        <a:prstGeom prst="wedgeRectCallout">
          <a:avLst>
            <a:gd name="adj1" fmla="val 19506"/>
            <a:gd name="adj2" fmla="val -69083"/>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b="0" i="0" u="none" strike="noStrike" baseline="0">
              <a:solidFill>
                <a:schemeClr val="tx1"/>
              </a:solidFill>
              <a:latin typeface="Arial"/>
              <a:ea typeface="+mn-ea"/>
              <a:cs typeface="+mn-cs"/>
            </a:rPr>
            <a:t>Dicha rebaja no será aplicable a empresas que pongan término a su giro respecto de la base imponible  que determinen en el ejercicio en que dicho término de giro se produce, toda vez que las rentas acumuladas se entienden retiradas, remesadas o distribuidas y por tanto, no se mantendrán invertidas, lo que incumple la condición que establece la norma señalada. </a:t>
          </a:r>
        </a:p>
        <a:p>
          <a:pPr algn="just"/>
          <a:r>
            <a:rPr lang="es-CL" sz="1000" b="0" i="0" u="none" strike="noStrike" baseline="0">
              <a:solidFill>
                <a:schemeClr val="tx1"/>
              </a:solidFill>
              <a:latin typeface="Arial"/>
              <a:ea typeface="+mn-ea"/>
              <a:cs typeface="+mn-cs"/>
            </a:rPr>
            <a:t>(3.2.3 Circular SII N°73 de 2020).</a:t>
          </a:r>
          <a:endParaRPr lang="es-CL" sz="1000">
            <a:solidFill>
              <a:schemeClr val="tx1"/>
            </a:solidFill>
            <a:latin typeface="Arial"/>
          </a:endParaRPr>
        </a:p>
      </xdr:txBody>
    </xdr:sp>
    <xdr:clientData/>
  </xdr:twoCellAnchor>
  <xdr:twoCellAnchor>
    <xdr:from>
      <xdr:col>11</xdr:col>
      <xdr:colOff>508995</xdr:colOff>
      <xdr:row>46</xdr:row>
      <xdr:rowOff>6540</xdr:rowOff>
    </xdr:from>
    <xdr:to>
      <xdr:col>13</xdr:col>
      <xdr:colOff>402167</xdr:colOff>
      <xdr:row>48</xdr:row>
      <xdr:rowOff>171577</xdr:rowOff>
    </xdr:to>
    <xdr:sp macro="" textlink="">
      <xdr:nvSpPr>
        <xdr:cNvPr id="16" name="Speech Bubble: Rectangle 15">
          <a:extLst>
            <a:ext uri="{FF2B5EF4-FFF2-40B4-BE49-F238E27FC236}">
              <a16:creationId xmlns:a16="http://schemas.microsoft.com/office/drawing/2014/main" id="{00000000-0008-0000-0200-000010000000}"/>
            </a:ext>
          </a:extLst>
        </xdr:cNvPr>
        <xdr:cNvSpPr/>
      </xdr:nvSpPr>
      <xdr:spPr>
        <a:xfrm>
          <a:off x="9652995" y="9002373"/>
          <a:ext cx="2062755" cy="598954"/>
        </a:xfrm>
        <a:prstGeom prst="wedgeRectCallout">
          <a:avLst>
            <a:gd name="adj1" fmla="val -82625"/>
            <a:gd name="adj2" fmla="val -238606"/>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Todos los montos</a:t>
          </a:r>
          <a:r>
            <a:rPr lang="es-CL" sz="1000" baseline="0">
              <a:solidFill>
                <a:schemeClr val="tx1"/>
              </a:solidFill>
              <a:latin typeface="Arial"/>
            </a:rPr>
            <a:t> deben ser registrados a valores históricos.</a:t>
          </a:r>
          <a:endParaRPr lang="es-CL" sz="1000">
            <a:solidFill>
              <a:schemeClr val="tx1"/>
            </a:solidFill>
            <a:latin typeface="Arial"/>
          </a:endParaRPr>
        </a:p>
      </xdr:txBody>
    </xdr:sp>
    <xdr:clientData/>
  </xdr:twoCellAnchor>
  <xdr:twoCellAnchor>
    <xdr:from>
      <xdr:col>11</xdr:col>
      <xdr:colOff>533627</xdr:colOff>
      <xdr:row>41</xdr:row>
      <xdr:rowOff>136713</xdr:rowOff>
    </xdr:from>
    <xdr:to>
      <xdr:col>15</xdr:col>
      <xdr:colOff>647699</xdr:colOff>
      <xdr:row>45</xdr:row>
      <xdr:rowOff>10584</xdr:rowOff>
    </xdr:to>
    <xdr:sp macro="" textlink="">
      <xdr:nvSpPr>
        <xdr:cNvPr id="17" name="Speech Bubble: Rectangle 1">
          <a:extLst>
            <a:ext uri="{FF2B5EF4-FFF2-40B4-BE49-F238E27FC236}">
              <a16:creationId xmlns:a16="http://schemas.microsoft.com/office/drawing/2014/main" id="{00000000-0008-0000-0200-000011000000}"/>
            </a:ext>
          </a:extLst>
        </xdr:cNvPr>
        <xdr:cNvSpPr/>
      </xdr:nvSpPr>
      <xdr:spPr>
        <a:xfrm>
          <a:off x="9677627" y="8201213"/>
          <a:ext cx="3902905" cy="614704"/>
        </a:xfrm>
        <a:prstGeom prst="wedgeRectCallout">
          <a:avLst>
            <a:gd name="adj1" fmla="val -71610"/>
            <a:gd name="adj2" fmla="val -148903"/>
          </a:avLst>
        </a:prstGeom>
        <a:solidFill>
          <a:schemeClr val="accent6">
            <a:lumMod val="60000"/>
            <a:lumOff val="40000"/>
          </a:schemeClr>
        </a:solidFill>
        <a:ln>
          <a:solidFill>
            <a:schemeClr val="accent6">
              <a:lumMod val="60000"/>
              <a:lumOff val="40000"/>
            </a:schemeClr>
          </a:solidFill>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just"/>
          <a:r>
            <a:rPr lang="es-CL" sz="1000">
              <a:solidFill>
                <a:schemeClr val="tx1"/>
              </a:solidFill>
              <a:latin typeface="Arial"/>
            </a:rPr>
            <a:t>Se debe deducir</a:t>
          </a:r>
          <a:r>
            <a:rPr lang="es-CL" sz="1000" baseline="0">
              <a:solidFill>
                <a:schemeClr val="tx1"/>
              </a:solidFill>
              <a:latin typeface="Arial"/>
            </a:rPr>
            <a:t> el 100% de </a:t>
          </a:r>
          <a:r>
            <a:rPr lang="es-CL" sz="1000">
              <a:solidFill>
                <a:schemeClr val="tx1"/>
              </a:solidFill>
              <a:latin typeface="Arial"/>
            </a:rPr>
            <a:t>los retiros históricos a todo evento, </a:t>
          </a:r>
          <a:r>
            <a:rPr lang="es-CL" sz="1000" baseline="0">
              <a:solidFill>
                <a:schemeClr val="tx1"/>
              </a:solidFill>
              <a:latin typeface="Arial"/>
            </a:rPr>
            <a:t> independientemente si se encuentran o no afectos a impuestos finales.</a:t>
          </a:r>
          <a:endParaRPr lang="es-CL" sz="1000">
            <a:solidFill>
              <a:schemeClr val="tx1"/>
            </a:solidFill>
            <a:latin typeface="Arial"/>
          </a:endParaRPr>
        </a:p>
      </xdr:txBody>
    </xdr:sp>
    <xdr:clientData/>
  </xdr:twoCellAnchor>
  <xdr:twoCellAnchor>
    <xdr:from>
      <xdr:col>11</xdr:col>
      <xdr:colOff>506172</xdr:colOff>
      <xdr:row>35</xdr:row>
      <xdr:rowOff>21166</xdr:rowOff>
    </xdr:from>
    <xdr:to>
      <xdr:col>15</xdr:col>
      <xdr:colOff>695324</xdr:colOff>
      <xdr:row>40</xdr:row>
      <xdr:rowOff>179916</xdr:rowOff>
    </xdr:to>
    <xdr:sp macro="" textlink="">
      <xdr:nvSpPr>
        <xdr:cNvPr id="18" name="Speech Bubble: Rectangle 1">
          <a:extLst>
            <a:ext uri="{FF2B5EF4-FFF2-40B4-BE49-F238E27FC236}">
              <a16:creationId xmlns:a16="http://schemas.microsoft.com/office/drawing/2014/main" id="{00000000-0008-0000-0200-000012000000}"/>
            </a:ext>
          </a:extLst>
        </xdr:cNvPr>
        <xdr:cNvSpPr/>
      </xdr:nvSpPr>
      <xdr:spPr>
        <a:xfrm>
          <a:off x="9650172" y="6836833"/>
          <a:ext cx="3977985" cy="1217083"/>
        </a:xfrm>
        <a:prstGeom prst="wedgeRectCallout">
          <a:avLst>
            <a:gd name="adj1" fmla="val -67489"/>
            <a:gd name="adj2" fmla="val -26205"/>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La empresa</a:t>
          </a:r>
          <a:r>
            <a:rPr lang="es-CL" sz="1000" baseline="0">
              <a:solidFill>
                <a:schemeClr val="tx1"/>
              </a:solidFill>
              <a:latin typeface="Arial"/>
            </a:rPr>
            <a:t> cumple con el requisito de tener un </a:t>
          </a:r>
          <a:r>
            <a:rPr lang="es-CL" sz="1000">
              <a:solidFill>
                <a:schemeClr val="tx1"/>
              </a:solidFill>
              <a:latin typeface="Arial"/>
            </a:rPr>
            <a:t>promedio anual de ingresos de su giro en los tres años comerciales anteriores al año en que se debe ejercer la opción (abril) que no exceda de las 100.000 UF,</a:t>
          </a:r>
          <a:r>
            <a:rPr lang="es-CL" sz="1000" baseline="0">
              <a:solidFill>
                <a:schemeClr val="tx1"/>
              </a:solidFill>
              <a:latin typeface="Arial"/>
            </a:rPr>
            <a:t> para esto se</a:t>
          </a:r>
          <a:r>
            <a:rPr lang="es-CL" sz="1000">
              <a:solidFill>
                <a:schemeClr val="tx1"/>
              </a:solidFill>
              <a:latin typeface="Arial"/>
            </a:rPr>
            <a:t> considerarán los ingresos obtenidos por sus empresas relacionadas en los términos del N° 17 del art. 8° del CT, aplicando para ese efecto lo dispuesto en la letra (b) del N° 1 de la letra D) del art 14 LIR.</a:t>
          </a:r>
        </a:p>
      </xdr:txBody>
    </xdr:sp>
    <xdr:clientData/>
  </xdr:twoCellAnchor>
  <xdr:twoCellAnchor>
    <xdr:from>
      <xdr:col>9</xdr:col>
      <xdr:colOff>16933</xdr:colOff>
      <xdr:row>45</xdr:row>
      <xdr:rowOff>27269</xdr:rowOff>
    </xdr:from>
    <xdr:to>
      <xdr:col>11</xdr:col>
      <xdr:colOff>83608</xdr:colOff>
      <xdr:row>48</xdr:row>
      <xdr:rowOff>55844</xdr:rowOff>
    </xdr:to>
    <xdr:sp macro="" textlink="">
      <xdr:nvSpPr>
        <xdr:cNvPr id="19" name="Speech Bubble: Rectangle 1">
          <a:extLst>
            <a:ext uri="{FF2B5EF4-FFF2-40B4-BE49-F238E27FC236}">
              <a16:creationId xmlns:a16="http://schemas.microsoft.com/office/drawing/2014/main" id="{00000000-0008-0000-0200-000013000000}"/>
            </a:ext>
          </a:extLst>
        </xdr:cNvPr>
        <xdr:cNvSpPr/>
      </xdr:nvSpPr>
      <xdr:spPr>
        <a:xfrm>
          <a:off x="6631516" y="8832602"/>
          <a:ext cx="2469092" cy="652992"/>
        </a:xfrm>
        <a:prstGeom prst="wedgeRectCallout">
          <a:avLst>
            <a:gd name="adj1" fmla="val 22786"/>
            <a:gd name="adj2" fmla="val -91021"/>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No existe</a:t>
          </a:r>
          <a:r>
            <a:rPr lang="es-CL" sz="1000" baseline="0">
              <a:solidFill>
                <a:schemeClr val="tx1"/>
              </a:solidFill>
              <a:latin typeface="Arial"/>
            </a:rPr>
            <a:t> la obligación de reponer esta deducción en ejercicios futuros.</a:t>
          </a:r>
          <a:endParaRPr lang="es-CL" sz="1000">
            <a:solidFill>
              <a:schemeClr val="tx1"/>
            </a:solidFill>
            <a:latin typeface="Arial"/>
          </a:endParaRPr>
        </a:p>
      </xdr:txBody>
    </xdr:sp>
    <xdr:clientData/>
  </xdr:twoCellAnchor>
  <xdr:twoCellAnchor>
    <xdr:from>
      <xdr:col>0</xdr:col>
      <xdr:colOff>275167</xdr:colOff>
      <xdr:row>45</xdr:row>
      <xdr:rowOff>31750</xdr:rowOff>
    </xdr:from>
    <xdr:to>
      <xdr:col>8</xdr:col>
      <xdr:colOff>613834</xdr:colOff>
      <xdr:row>48</xdr:row>
      <xdr:rowOff>31750</xdr:rowOff>
    </xdr:to>
    <xdr:sp macro="" textlink="">
      <xdr:nvSpPr>
        <xdr:cNvPr id="14" name="Speech Bubble: Rectangle 1">
          <a:extLst>
            <a:ext uri="{FF2B5EF4-FFF2-40B4-BE49-F238E27FC236}">
              <a16:creationId xmlns:a16="http://schemas.microsoft.com/office/drawing/2014/main" id="{00000000-0008-0000-0200-00000E000000}"/>
            </a:ext>
          </a:extLst>
        </xdr:cNvPr>
        <xdr:cNvSpPr/>
      </xdr:nvSpPr>
      <xdr:spPr>
        <a:xfrm>
          <a:off x="275167" y="8837083"/>
          <a:ext cx="5990167" cy="624417"/>
        </a:xfrm>
        <a:prstGeom prst="wedgeRectCallout">
          <a:avLst>
            <a:gd name="adj1" fmla="val 41950"/>
            <a:gd name="adj2" fmla="val -75214"/>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es-CL" sz="1000" b="0" i="0" u="none" strike="noStrike" baseline="0">
              <a:solidFill>
                <a:schemeClr val="tx1"/>
              </a:solidFill>
              <a:latin typeface="Arial"/>
              <a:ea typeface="+mn-ea"/>
              <a:cs typeface="+mn-cs"/>
            </a:rPr>
            <a:t>Los contribuyentes sujetos al régimen del N°3 de la letra D) del artículo 14 de la LIR que opten por acogerse al incentivo al ahorro, deberán manifestarlo en el Formulario N° 22, sobre declaración de impuestos anuales a la renta, a través del </a:t>
          </a:r>
          <a:r>
            <a:rPr lang="es-CL" sz="1000" b="1" i="0" u="none" strike="noStrike" baseline="0">
              <a:solidFill>
                <a:schemeClr val="tx1"/>
              </a:solidFill>
              <a:latin typeface="Arial"/>
              <a:ea typeface="+mn-ea"/>
              <a:cs typeface="+mn-cs"/>
            </a:rPr>
            <a:t>código 1432 </a:t>
          </a:r>
          <a:r>
            <a:rPr lang="es-CL" sz="1000" b="0" i="0" u="none" strike="noStrike" baseline="0">
              <a:solidFill>
                <a:schemeClr val="tx1"/>
              </a:solidFill>
              <a:latin typeface="Arial"/>
              <a:ea typeface="+mn-ea"/>
              <a:cs typeface="+mn-cs"/>
            </a:rPr>
            <a:t>del </a:t>
          </a:r>
          <a:r>
            <a:rPr lang="es-CL" sz="1000" b="1" i="0" u="none" strike="noStrike" baseline="0">
              <a:solidFill>
                <a:schemeClr val="tx1"/>
              </a:solidFill>
              <a:latin typeface="Arial"/>
              <a:ea typeface="+mn-ea"/>
              <a:cs typeface="+mn-cs"/>
            </a:rPr>
            <a:t>Recuadro N°17 </a:t>
          </a:r>
          <a:r>
            <a:rPr lang="es-CL" sz="1000" b="0" i="0" u="none" strike="noStrike" baseline="0">
              <a:solidFill>
                <a:schemeClr val="tx1"/>
              </a:solidFill>
              <a:latin typeface="Arial"/>
              <a:ea typeface="+mn-ea"/>
              <a:cs typeface="+mn-cs"/>
            </a:rPr>
            <a:t>del  F-22 AT 2026.</a:t>
          </a:r>
          <a:endParaRPr kumimoji="0" lang="es-CL" sz="1000" b="0" i="0" u="none" strike="noStrike" kern="0" cap="none" spc="0" normalizeH="0" baseline="0">
            <a:ln>
              <a:noFill/>
            </a:ln>
            <a:solidFill>
              <a:schemeClr val="tx1"/>
            </a:solidFill>
            <a:effectLst/>
            <a:uLnTx/>
            <a:uFillTx/>
            <a:latin typeface="Arial"/>
            <a:ea typeface="+mn-ea"/>
            <a:cs typeface="+mn-cs"/>
          </a:endParaRPr>
        </a:p>
      </xdr:txBody>
    </xdr:sp>
    <xdr:clientData/>
  </xdr:twoCellAnchor>
  <xdr:twoCellAnchor>
    <xdr:from>
      <xdr:col>11</xdr:col>
      <xdr:colOff>359833</xdr:colOff>
      <xdr:row>19</xdr:row>
      <xdr:rowOff>55034</xdr:rowOff>
    </xdr:from>
    <xdr:to>
      <xdr:col>13</xdr:col>
      <xdr:colOff>761999</xdr:colOff>
      <xdr:row>20</xdr:row>
      <xdr:rowOff>183446</xdr:rowOff>
    </xdr:to>
    <xdr:sp macro="" textlink="">
      <xdr:nvSpPr>
        <xdr:cNvPr id="20" name="Speech Bubble: Rectangle 2">
          <a:extLst>
            <a:ext uri="{FF2B5EF4-FFF2-40B4-BE49-F238E27FC236}">
              <a16:creationId xmlns:a16="http://schemas.microsoft.com/office/drawing/2014/main" id="{2CA14026-D392-43BE-906F-58998DDA063F}"/>
            </a:ext>
          </a:extLst>
        </xdr:cNvPr>
        <xdr:cNvSpPr/>
      </xdr:nvSpPr>
      <xdr:spPr>
        <a:xfrm>
          <a:off x="9398000" y="3780367"/>
          <a:ext cx="2571749" cy="318912"/>
        </a:xfrm>
        <a:prstGeom prst="wedgeRectCallout">
          <a:avLst>
            <a:gd name="adj1" fmla="val -74991"/>
            <a:gd name="adj2" fmla="val 23219"/>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baseline="0">
              <a:solidFill>
                <a:schemeClr val="tx1"/>
              </a:solidFill>
              <a:latin typeface="Arial"/>
            </a:rPr>
            <a:t>Honorarios pagados durante el ejercicio. </a:t>
          </a:r>
          <a:endParaRPr lang="es-CL" sz="1000">
            <a:solidFill>
              <a:schemeClr val="tx1"/>
            </a:solidFill>
            <a:latin typeface="Arial"/>
          </a:endParaRPr>
        </a:p>
      </xdr:txBody>
    </xdr:sp>
    <xdr:clientData/>
  </xdr:twoCellAnchor>
  <xdr:twoCellAnchor>
    <xdr:from>
      <xdr:col>11</xdr:col>
      <xdr:colOff>359834</xdr:colOff>
      <xdr:row>15</xdr:row>
      <xdr:rowOff>127000</xdr:rowOff>
    </xdr:from>
    <xdr:to>
      <xdr:col>15</xdr:col>
      <xdr:colOff>381000</xdr:colOff>
      <xdr:row>18</xdr:row>
      <xdr:rowOff>179916</xdr:rowOff>
    </xdr:to>
    <xdr:sp macro="" textlink="">
      <xdr:nvSpPr>
        <xdr:cNvPr id="21" name="Speech Bubble: Rectangle 2">
          <a:extLst>
            <a:ext uri="{FF2B5EF4-FFF2-40B4-BE49-F238E27FC236}">
              <a16:creationId xmlns:a16="http://schemas.microsoft.com/office/drawing/2014/main" id="{96019304-240A-40F5-9A15-6D8C0A9D2C1B}"/>
            </a:ext>
          </a:extLst>
        </xdr:cNvPr>
        <xdr:cNvSpPr/>
      </xdr:nvSpPr>
      <xdr:spPr>
        <a:xfrm>
          <a:off x="9398001" y="3079750"/>
          <a:ext cx="3809999" cy="634999"/>
        </a:xfrm>
        <a:prstGeom prst="wedgeRectCallout">
          <a:avLst>
            <a:gd name="adj1" fmla="val -66208"/>
            <a:gd name="adj2" fmla="val 62300"/>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baseline="0">
              <a:solidFill>
                <a:schemeClr val="tx1"/>
              </a:solidFill>
              <a:latin typeface="Arial"/>
            </a:rPr>
            <a:t>Forman parte de este monto las cotizaciones previsionales de diciembre de 2024 (siempre que no se encuentren pagadas en dicho mes)  y las retenciones IUSC de diciembre 2024.</a:t>
          </a:r>
          <a:endParaRPr lang="es-CL" sz="1000">
            <a:solidFill>
              <a:schemeClr val="tx1"/>
            </a:solidFill>
            <a:latin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444502</xdr:colOff>
      <xdr:row>4</xdr:row>
      <xdr:rowOff>74083</xdr:rowOff>
    </xdr:from>
    <xdr:to>
      <xdr:col>9</xdr:col>
      <xdr:colOff>573617</xdr:colOff>
      <xdr:row>7</xdr:row>
      <xdr:rowOff>63500</xdr:rowOff>
    </xdr:to>
    <xdr:sp macro="" textlink="">
      <xdr:nvSpPr>
        <xdr:cNvPr id="2" name="Speech Bubble: Rectangle 1">
          <a:extLst>
            <a:ext uri="{FF2B5EF4-FFF2-40B4-BE49-F238E27FC236}">
              <a16:creationId xmlns:a16="http://schemas.microsoft.com/office/drawing/2014/main" id="{00000000-0008-0000-0400-000002000000}"/>
            </a:ext>
          </a:extLst>
        </xdr:cNvPr>
        <xdr:cNvSpPr/>
      </xdr:nvSpPr>
      <xdr:spPr>
        <a:xfrm>
          <a:off x="5820835" y="846666"/>
          <a:ext cx="2912532" cy="624417"/>
        </a:xfrm>
        <a:prstGeom prst="wedgeRectCallout">
          <a:avLst>
            <a:gd name="adj1" fmla="val -66009"/>
            <a:gd name="adj2" fmla="val -18457"/>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just"/>
          <a:r>
            <a:rPr lang="es-CL" sz="1000">
              <a:solidFill>
                <a:schemeClr val="tx1"/>
              </a:solidFill>
              <a:latin typeface="Arial" panose="020B0604020202020204" pitchFamily="34" charset="0"/>
              <a:cs typeface="Arial" panose="020B0604020202020204" pitchFamily="34" charset="0"/>
            </a:rPr>
            <a:t>Corresponde</a:t>
          </a:r>
          <a:r>
            <a:rPr lang="es-CL" sz="1000" baseline="0">
              <a:solidFill>
                <a:schemeClr val="tx1"/>
              </a:solidFill>
              <a:latin typeface="Arial" panose="020B0604020202020204" pitchFamily="34" charset="0"/>
              <a:cs typeface="Arial" panose="020B0604020202020204" pitchFamily="34" charset="0"/>
            </a:rPr>
            <a:t> a la sumatoria del saldo inicial de INR de $80.000 más el INR del ejercicio de $80.000, </a:t>
          </a:r>
          <a:r>
            <a:rPr lang="es-CL" sz="1000" u="none" baseline="0">
              <a:solidFill>
                <a:schemeClr val="tx1"/>
              </a:solidFill>
              <a:latin typeface="Arial" panose="020B0604020202020204" pitchFamily="34" charset="0"/>
              <a:cs typeface="Arial" panose="020B0604020202020204" pitchFamily="34" charset="0"/>
            </a:rPr>
            <a:t>antes de imputar los retiros.</a:t>
          </a:r>
          <a:endParaRPr lang="es-CL" sz="1000" u="none">
            <a:solidFill>
              <a:schemeClr val="tx1"/>
            </a:solidFill>
            <a:latin typeface="Arial" panose="020B0604020202020204" pitchFamily="34" charset="0"/>
            <a:cs typeface="Arial" panose="020B0604020202020204" pitchFamily="34" charset="0"/>
          </a:endParaRPr>
        </a:p>
      </xdr:txBody>
    </xdr:sp>
    <xdr:clientData/>
  </xdr:twoCellAnchor>
  <xdr:twoCellAnchor>
    <xdr:from>
      <xdr:col>6</xdr:col>
      <xdr:colOff>440266</xdr:colOff>
      <xdr:row>1</xdr:row>
      <xdr:rowOff>4232</xdr:rowOff>
    </xdr:from>
    <xdr:to>
      <xdr:col>9</xdr:col>
      <xdr:colOff>560917</xdr:colOff>
      <xdr:row>3</xdr:row>
      <xdr:rowOff>112183</xdr:rowOff>
    </xdr:to>
    <xdr:sp macro="" textlink="">
      <xdr:nvSpPr>
        <xdr:cNvPr id="4" name="Speech Bubble: Rectangle 1">
          <a:extLst>
            <a:ext uri="{FF2B5EF4-FFF2-40B4-BE49-F238E27FC236}">
              <a16:creationId xmlns:a16="http://schemas.microsoft.com/office/drawing/2014/main" id="{00000000-0008-0000-0400-000004000000}"/>
            </a:ext>
          </a:extLst>
        </xdr:cNvPr>
        <xdr:cNvSpPr/>
      </xdr:nvSpPr>
      <xdr:spPr>
        <a:xfrm>
          <a:off x="5816599" y="162982"/>
          <a:ext cx="2904068" cy="510118"/>
        </a:xfrm>
        <a:prstGeom prst="wedgeRectCallout">
          <a:avLst>
            <a:gd name="adj1" fmla="val -68605"/>
            <a:gd name="adj2" fmla="val 42841"/>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just"/>
          <a:r>
            <a:rPr lang="es-CL" sz="1000">
              <a:solidFill>
                <a:schemeClr val="tx1"/>
              </a:solidFill>
              <a:latin typeface="Arial" panose="020B0604020202020204" pitchFamily="34" charset="0"/>
              <a:cs typeface="Arial" panose="020B0604020202020204" pitchFamily="34" charset="0"/>
            </a:rPr>
            <a:t>Corresponde al monto informado en el </a:t>
          </a:r>
          <a:r>
            <a:rPr lang="es-CL" sz="1000" b="1">
              <a:solidFill>
                <a:schemeClr val="tx1"/>
              </a:solidFill>
              <a:latin typeface="Arial" panose="020B0604020202020204" pitchFamily="34" charset="0"/>
              <a:cs typeface="Arial" panose="020B0604020202020204" pitchFamily="34" charset="0"/>
            </a:rPr>
            <a:t>código 1545 </a:t>
          </a:r>
          <a:r>
            <a:rPr lang="es-CL" sz="1000">
              <a:solidFill>
                <a:schemeClr val="tx1"/>
              </a:solidFill>
              <a:latin typeface="Arial" panose="020B0604020202020204" pitchFamily="34" charset="0"/>
              <a:cs typeface="Arial" panose="020B0604020202020204" pitchFamily="34" charset="0"/>
            </a:rPr>
            <a:t>del </a:t>
          </a:r>
          <a:r>
            <a:rPr lang="es-CL" sz="1000" b="1">
              <a:solidFill>
                <a:schemeClr val="tx1"/>
              </a:solidFill>
              <a:latin typeface="Arial" panose="020B0604020202020204" pitchFamily="34" charset="0"/>
              <a:cs typeface="Arial" panose="020B0604020202020204" pitchFamily="34" charset="0"/>
            </a:rPr>
            <a:t>Recuadro N°19 </a:t>
          </a:r>
          <a:r>
            <a:rPr lang="es-CL" sz="1000">
              <a:solidFill>
                <a:schemeClr val="tx1"/>
              </a:solidFill>
              <a:latin typeface="Arial" panose="020B0604020202020204" pitchFamily="34" charset="0"/>
              <a:cs typeface="Arial" panose="020B0604020202020204" pitchFamily="34" charset="0"/>
            </a:rPr>
            <a:t>del</a:t>
          </a:r>
          <a:r>
            <a:rPr lang="es-CL" sz="1000" baseline="0">
              <a:solidFill>
                <a:schemeClr val="tx1"/>
              </a:solidFill>
              <a:latin typeface="Arial" panose="020B0604020202020204" pitchFamily="34" charset="0"/>
              <a:cs typeface="Arial" panose="020B0604020202020204" pitchFamily="34" charset="0"/>
            </a:rPr>
            <a:t> F-22 AT 2026.</a:t>
          </a:r>
          <a:endParaRPr lang="es-CL" sz="1000">
            <a:solidFill>
              <a:schemeClr val="tx1"/>
            </a:solidFill>
            <a:latin typeface="Arial" panose="020B0604020202020204" pitchFamily="34" charset="0"/>
            <a:cs typeface="Arial" panose="020B0604020202020204" pitchFamily="34" charset="0"/>
          </a:endParaRPr>
        </a:p>
      </xdr:txBody>
    </xdr:sp>
    <xdr:clientData/>
  </xdr:twoCellAnchor>
  <xdr:twoCellAnchor>
    <xdr:from>
      <xdr:col>6</xdr:col>
      <xdr:colOff>431800</xdr:colOff>
      <xdr:row>8</xdr:row>
      <xdr:rowOff>105833</xdr:rowOff>
    </xdr:from>
    <xdr:to>
      <xdr:col>9</xdr:col>
      <xdr:colOff>550333</xdr:colOff>
      <xdr:row>12</xdr:row>
      <xdr:rowOff>23284</xdr:rowOff>
    </xdr:to>
    <xdr:sp macro="" textlink="">
      <xdr:nvSpPr>
        <xdr:cNvPr id="5" name="Speech Bubble: Rectangle 1">
          <a:extLst>
            <a:ext uri="{FF2B5EF4-FFF2-40B4-BE49-F238E27FC236}">
              <a16:creationId xmlns:a16="http://schemas.microsoft.com/office/drawing/2014/main" id="{00000000-0008-0000-0400-000005000000}"/>
            </a:ext>
          </a:extLst>
        </xdr:cNvPr>
        <xdr:cNvSpPr/>
      </xdr:nvSpPr>
      <xdr:spPr>
        <a:xfrm>
          <a:off x="5808133" y="1725083"/>
          <a:ext cx="2901950" cy="552451"/>
        </a:xfrm>
        <a:prstGeom prst="wedgeRectCallout">
          <a:avLst>
            <a:gd name="adj1" fmla="val -66694"/>
            <a:gd name="adj2" fmla="val -121818"/>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just"/>
          <a:r>
            <a:rPr lang="es-CL" sz="1000">
              <a:solidFill>
                <a:schemeClr val="tx1"/>
              </a:solidFill>
              <a:latin typeface="Arial" panose="020B0604020202020204" pitchFamily="34" charset="0"/>
              <a:cs typeface="Arial" panose="020B0604020202020204" pitchFamily="34" charset="0"/>
            </a:rPr>
            <a:t>En caso de existir</a:t>
          </a:r>
          <a:r>
            <a:rPr lang="es-CL" sz="1000" baseline="0">
              <a:solidFill>
                <a:schemeClr val="tx1"/>
              </a:solidFill>
              <a:latin typeface="Arial" panose="020B0604020202020204" pitchFamily="34" charset="0"/>
              <a:cs typeface="Arial" panose="020B0604020202020204" pitchFamily="34" charset="0"/>
            </a:rPr>
            <a:t> aportes de capital durante el ejercicio en curso dichos valores se deben considerar históricos.</a:t>
          </a:r>
          <a:endParaRPr lang="es-CL" sz="1000">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101071</xdr:colOff>
      <xdr:row>3</xdr:row>
      <xdr:rowOff>28573</xdr:rowOff>
    </xdr:from>
    <xdr:to>
      <xdr:col>4</xdr:col>
      <xdr:colOff>730489</xdr:colOff>
      <xdr:row>3</xdr:row>
      <xdr:rowOff>449792</xdr:rowOff>
    </xdr:to>
    <xdr:sp macro="" textlink="">
      <xdr:nvSpPr>
        <xdr:cNvPr id="2" name="Speech Bubble: Rectangle 1">
          <a:extLst>
            <a:ext uri="{FF2B5EF4-FFF2-40B4-BE49-F238E27FC236}">
              <a16:creationId xmlns:a16="http://schemas.microsoft.com/office/drawing/2014/main" id="{00000000-0008-0000-0800-000002000000}"/>
            </a:ext>
          </a:extLst>
        </xdr:cNvPr>
        <xdr:cNvSpPr/>
      </xdr:nvSpPr>
      <xdr:spPr>
        <a:xfrm>
          <a:off x="915988" y="684740"/>
          <a:ext cx="2693168" cy="421219"/>
        </a:xfrm>
        <a:prstGeom prst="wedgeRectCallout">
          <a:avLst>
            <a:gd name="adj1" fmla="val 67820"/>
            <a:gd name="adj2" fmla="val 110353"/>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L" sz="1000" b="0">
              <a:solidFill>
                <a:schemeClr val="tx1"/>
              </a:solidFill>
              <a:latin typeface="Arial" panose="020B0604020202020204" pitchFamily="34" charset="0"/>
              <a:cs typeface="Arial" panose="020B0604020202020204" pitchFamily="34" charset="0"/>
            </a:rPr>
            <a:t>Los montos de todos los registros</a:t>
          </a:r>
          <a:r>
            <a:rPr lang="es-CL" sz="1000" b="0" baseline="0">
              <a:solidFill>
                <a:schemeClr val="tx1"/>
              </a:solidFill>
              <a:latin typeface="Arial" panose="020B0604020202020204" pitchFamily="34" charset="0"/>
              <a:cs typeface="Arial" panose="020B0604020202020204" pitchFamily="34" charset="0"/>
            </a:rPr>
            <a:t> deben ser anotados a valores históricos.</a:t>
          </a:r>
          <a:endParaRPr lang="es-CL" sz="1000" b="0">
            <a:solidFill>
              <a:schemeClr val="tx1"/>
            </a:solidFill>
            <a:latin typeface="Arial" panose="020B0604020202020204" pitchFamily="34" charset="0"/>
            <a:cs typeface="Arial" panose="020B0604020202020204" pitchFamily="34" charset="0"/>
          </a:endParaRPr>
        </a:p>
      </xdr:txBody>
    </xdr:sp>
    <xdr:clientData/>
  </xdr:twoCellAnchor>
  <xdr:twoCellAnchor>
    <xdr:from>
      <xdr:col>10</xdr:col>
      <xdr:colOff>1009345</xdr:colOff>
      <xdr:row>23</xdr:row>
      <xdr:rowOff>157647</xdr:rowOff>
    </xdr:from>
    <xdr:to>
      <xdr:col>14</xdr:col>
      <xdr:colOff>427792</xdr:colOff>
      <xdr:row>27</xdr:row>
      <xdr:rowOff>35717</xdr:rowOff>
    </xdr:to>
    <xdr:sp macro="" textlink="">
      <xdr:nvSpPr>
        <xdr:cNvPr id="3" name="Speech Bubble: Rectangle 2">
          <a:extLst>
            <a:ext uri="{FF2B5EF4-FFF2-40B4-BE49-F238E27FC236}">
              <a16:creationId xmlns:a16="http://schemas.microsoft.com/office/drawing/2014/main" id="{00000000-0008-0000-0800-000003000000}"/>
            </a:ext>
          </a:extLst>
        </xdr:cNvPr>
        <xdr:cNvSpPr/>
      </xdr:nvSpPr>
      <xdr:spPr>
        <a:xfrm>
          <a:off x="10331939" y="5467835"/>
          <a:ext cx="3157009" cy="544820"/>
        </a:xfrm>
        <a:prstGeom prst="wedgeRectCallout">
          <a:avLst>
            <a:gd name="adj1" fmla="val -52825"/>
            <a:gd name="adj2" fmla="val -150574"/>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L" sz="1000">
              <a:solidFill>
                <a:schemeClr val="tx1"/>
              </a:solidFill>
              <a:latin typeface="Arial" panose="020B0604020202020204" pitchFamily="34" charset="0"/>
              <a:cs typeface="Arial" panose="020B0604020202020204" pitchFamily="34" charset="0"/>
            </a:rPr>
            <a:t>Corresponde</a:t>
          </a:r>
          <a:r>
            <a:rPr lang="es-CL" sz="1000" baseline="0">
              <a:solidFill>
                <a:schemeClr val="tx1"/>
              </a:solidFill>
              <a:latin typeface="Arial" panose="020B0604020202020204" pitchFamily="34" charset="0"/>
              <a:cs typeface="Arial" panose="020B0604020202020204" pitchFamily="34" charset="0"/>
            </a:rPr>
            <a:t> al crédito por IDPC </a:t>
          </a:r>
          <a:r>
            <a:rPr lang="es-CL" sz="1000">
              <a:solidFill>
                <a:schemeClr val="tx1"/>
              </a:solidFill>
              <a:latin typeface="Arial" panose="020B0604020202020204" pitchFamily="34" charset="0"/>
              <a:ea typeface="+mn-ea"/>
              <a:cs typeface="Arial" panose="020B0604020202020204" pitchFamily="34" charset="0"/>
            </a:rPr>
            <a:t>asociado a las multas e intereses fiscales ($140.000 * 0,142857).</a:t>
          </a:r>
        </a:p>
      </xdr:txBody>
    </xdr:sp>
    <xdr:clientData/>
  </xdr:twoCellAnchor>
  <xdr:twoCellAnchor>
    <xdr:from>
      <xdr:col>2</xdr:col>
      <xdr:colOff>669574</xdr:colOff>
      <xdr:row>23</xdr:row>
      <xdr:rowOff>77613</xdr:rowOff>
    </xdr:from>
    <xdr:to>
      <xdr:col>5</xdr:col>
      <xdr:colOff>256822</xdr:colOff>
      <xdr:row>26</xdr:row>
      <xdr:rowOff>43392</xdr:rowOff>
    </xdr:to>
    <xdr:sp macro="" textlink="">
      <xdr:nvSpPr>
        <xdr:cNvPr id="7" name="Speech Bubble: Rectangle 1">
          <a:extLst>
            <a:ext uri="{FF2B5EF4-FFF2-40B4-BE49-F238E27FC236}">
              <a16:creationId xmlns:a16="http://schemas.microsoft.com/office/drawing/2014/main" id="{00000000-0008-0000-0800-000007000000}"/>
            </a:ext>
          </a:extLst>
        </xdr:cNvPr>
        <xdr:cNvSpPr/>
      </xdr:nvSpPr>
      <xdr:spPr>
        <a:xfrm>
          <a:off x="1823157" y="5305780"/>
          <a:ext cx="2582332" cy="442029"/>
        </a:xfrm>
        <a:prstGeom prst="wedgeRectCallout">
          <a:avLst>
            <a:gd name="adj1" fmla="val -9206"/>
            <a:gd name="adj2" fmla="val -290541"/>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L" sz="1000">
              <a:solidFill>
                <a:schemeClr val="tx1"/>
              </a:solidFill>
              <a:latin typeface="Arial" panose="020B0604020202020204" pitchFamily="34" charset="0"/>
              <a:cs typeface="Arial" panose="020B0604020202020204" pitchFamily="34" charset="0"/>
            </a:rPr>
            <a:t>Imputación de retiros debe ser en orden cronológico.</a:t>
          </a:r>
        </a:p>
      </xdr:txBody>
    </xdr:sp>
    <xdr:clientData/>
  </xdr:twoCellAnchor>
  <xdr:twoCellAnchor>
    <xdr:from>
      <xdr:col>15</xdr:col>
      <xdr:colOff>381001</xdr:colOff>
      <xdr:row>17</xdr:row>
      <xdr:rowOff>137582</xdr:rowOff>
    </xdr:from>
    <xdr:to>
      <xdr:col>19</xdr:col>
      <xdr:colOff>529167</xdr:colOff>
      <xdr:row>20</xdr:row>
      <xdr:rowOff>190500</xdr:rowOff>
    </xdr:to>
    <xdr:sp macro="" textlink="">
      <xdr:nvSpPr>
        <xdr:cNvPr id="11" name="Speech Bubble: Rectangle 1">
          <a:extLst>
            <a:ext uri="{FF2B5EF4-FFF2-40B4-BE49-F238E27FC236}">
              <a16:creationId xmlns:a16="http://schemas.microsoft.com/office/drawing/2014/main" id="{00000000-0008-0000-0800-00000B000000}"/>
            </a:ext>
          </a:extLst>
        </xdr:cNvPr>
        <xdr:cNvSpPr/>
      </xdr:nvSpPr>
      <xdr:spPr>
        <a:xfrm>
          <a:off x="14227970" y="4221426"/>
          <a:ext cx="2660385" cy="624418"/>
        </a:xfrm>
        <a:prstGeom prst="wedgeRectCallout">
          <a:avLst>
            <a:gd name="adj1" fmla="val -127388"/>
            <a:gd name="adj2" fmla="val -74127"/>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panose="020B0604020202020204" pitchFamily="34" charset="0"/>
              <a:ea typeface="+mn-ea"/>
              <a:cs typeface="Arial" panose="020B0604020202020204" pitchFamily="34" charset="0"/>
            </a:rPr>
            <a:t>El crédito IPE se asigna utilizando la tasa del 22,5% (35% - tasa IDPC 12,5%), con tope del saldo del registro SAC.</a:t>
          </a:r>
        </a:p>
      </xdr:txBody>
    </xdr:sp>
    <xdr:clientData/>
  </xdr:twoCellAnchor>
  <xdr:twoCellAnchor>
    <xdr:from>
      <xdr:col>15</xdr:col>
      <xdr:colOff>363652</xdr:colOff>
      <xdr:row>7</xdr:row>
      <xdr:rowOff>11906</xdr:rowOff>
    </xdr:from>
    <xdr:to>
      <xdr:col>19</xdr:col>
      <xdr:colOff>511968</xdr:colOff>
      <xdr:row>10</xdr:row>
      <xdr:rowOff>154780</xdr:rowOff>
    </xdr:to>
    <xdr:sp macro="" textlink="">
      <xdr:nvSpPr>
        <xdr:cNvPr id="12" name="Speech Bubble: Rectangle 1">
          <a:extLst>
            <a:ext uri="{FF2B5EF4-FFF2-40B4-BE49-F238E27FC236}">
              <a16:creationId xmlns:a16="http://schemas.microsoft.com/office/drawing/2014/main" id="{00000000-0008-0000-0800-00000C000000}"/>
            </a:ext>
          </a:extLst>
        </xdr:cNvPr>
        <xdr:cNvSpPr/>
      </xdr:nvSpPr>
      <xdr:spPr>
        <a:xfrm>
          <a:off x="14210621" y="2000250"/>
          <a:ext cx="2660535" cy="857249"/>
        </a:xfrm>
        <a:prstGeom prst="wedgeRectCallout">
          <a:avLst>
            <a:gd name="adj1" fmla="val -228527"/>
            <a:gd name="adj2" fmla="val 97802"/>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panose="020B0604020202020204" pitchFamily="34" charset="0"/>
              <a:ea typeface="+mn-ea"/>
              <a:cs typeface="Arial" panose="020B0604020202020204" pitchFamily="34" charset="0"/>
            </a:rPr>
            <a:t>El crédito IDPC se debe registrar distinguiendo aquella parte que tiene derecho a devolución respecto de aquella no lo tiene por haber sido cubierto el IDPC con el crédito IPE.</a:t>
          </a:r>
        </a:p>
      </xdr:txBody>
    </xdr:sp>
    <xdr:clientData/>
  </xdr:twoCellAnchor>
  <xdr:twoCellAnchor>
    <xdr:from>
      <xdr:col>15</xdr:col>
      <xdr:colOff>383648</xdr:colOff>
      <xdr:row>11</xdr:row>
      <xdr:rowOff>38362</xdr:rowOff>
    </xdr:from>
    <xdr:to>
      <xdr:col>19</xdr:col>
      <xdr:colOff>518584</xdr:colOff>
      <xdr:row>16</xdr:row>
      <xdr:rowOff>158749</xdr:rowOff>
    </xdr:to>
    <xdr:sp macro="" textlink="">
      <xdr:nvSpPr>
        <xdr:cNvPr id="8" name="Speech Bubble: Rectangle 1">
          <a:extLst>
            <a:ext uri="{FF2B5EF4-FFF2-40B4-BE49-F238E27FC236}">
              <a16:creationId xmlns:a16="http://schemas.microsoft.com/office/drawing/2014/main" id="{35E25451-7B8B-4A1D-9509-0322AED0A0F0}"/>
            </a:ext>
          </a:extLst>
        </xdr:cNvPr>
        <xdr:cNvSpPr/>
      </xdr:nvSpPr>
      <xdr:spPr>
        <a:xfrm>
          <a:off x="13623398" y="3145893"/>
          <a:ext cx="2647155" cy="1096700"/>
        </a:xfrm>
        <a:prstGeom prst="wedgeRectCallout">
          <a:avLst>
            <a:gd name="adj1" fmla="val -96442"/>
            <a:gd name="adj2" fmla="val -114"/>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panose="020B0604020202020204" pitchFamily="34" charset="0"/>
              <a:ea typeface="+mn-ea"/>
              <a:cs typeface="Arial" panose="020B0604020202020204" pitchFamily="34" charset="0"/>
            </a:rPr>
            <a:t>Debido a que se perciben créditos del registro SAC acumulados hasta el 31.12.2016, corresponde también incorporar al STUT el monto neto para efectos del cálculo de tasa TEF.</a:t>
          </a:r>
        </a:p>
      </xdr:txBody>
    </xdr:sp>
    <xdr:clientData/>
  </xdr:twoCellAnchor>
  <xdr:twoCellAnchor>
    <xdr:from>
      <xdr:col>15</xdr:col>
      <xdr:colOff>256647</xdr:colOff>
      <xdr:row>1</xdr:row>
      <xdr:rowOff>152400</xdr:rowOff>
    </xdr:from>
    <xdr:to>
      <xdr:col>19</xdr:col>
      <xdr:colOff>459846</xdr:colOff>
      <xdr:row>5</xdr:row>
      <xdr:rowOff>9524</xdr:rowOff>
    </xdr:to>
    <xdr:sp macro="" textlink="">
      <xdr:nvSpPr>
        <xdr:cNvPr id="10" name="Speech Bubble: Rectangle 1">
          <a:extLst>
            <a:ext uri="{FF2B5EF4-FFF2-40B4-BE49-F238E27FC236}">
              <a16:creationId xmlns:a16="http://schemas.microsoft.com/office/drawing/2014/main" id="{5142A64E-8CEC-4192-AC74-1920A55FF872}"/>
            </a:ext>
          </a:extLst>
        </xdr:cNvPr>
        <xdr:cNvSpPr/>
      </xdr:nvSpPr>
      <xdr:spPr>
        <a:xfrm>
          <a:off x="13792730" y="469900"/>
          <a:ext cx="2743199" cy="1010707"/>
        </a:xfrm>
        <a:prstGeom prst="wedgeRectCallout">
          <a:avLst>
            <a:gd name="adj1" fmla="val -92957"/>
            <a:gd name="adj2" fmla="val 56800"/>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panose="020B0604020202020204" pitchFamily="34" charset="0"/>
              <a:ea typeface="+mn-ea"/>
              <a:cs typeface="Arial" panose="020B0604020202020204" pitchFamily="34" charset="0"/>
            </a:rPr>
            <a:t>En su cálculo se debe considerar los saldos al cierre del ejercicio anterior (AT 2025) como aquellos montos que se incorporen durante el ejercicio (AT 2026) al percibir retiros o dividendos con créditos acumulados hasta el 31.12.2016.</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402165</xdr:colOff>
      <xdr:row>8</xdr:row>
      <xdr:rowOff>101600</xdr:rowOff>
    </xdr:from>
    <xdr:to>
      <xdr:col>8</xdr:col>
      <xdr:colOff>814915</xdr:colOff>
      <xdr:row>13</xdr:row>
      <xdr:rowOff>87311</xdr:rowOff>
    </xdr:to>
    <xdr:sp macro="" textlink="">
      <xdr:nvSpPr>
        <xdr:cNvPr id="2" name="Speech Bubble: Rectangle 1">
          <a:extLst>
            <a:ext uri="{FF2B5EF4-FFF2-40B4-BE49-F238E27FC236}">
              <a16:creationId xmlns:a16="http://schemas.microsoft.com/office/drawing/2014/main" id="{00000000-0008-0000-0600-000002000000}"/>
            </a:ext>
          </a:extLst>
        </xdr:cNvPr>
        <xdr:cNvSpPr/>
      </xdr:nvSpPr>
      <xdr:spPr>
        <a:xfrm>
          <a:off x="5789082" y="1678517"/>
          <a:ext cx="2529416" cy="1022877"/>
        </a:xfrm>
        <a:prstGeom prst="wedgeRectCallout">
          <a:avLst>
            <a:gd name="adj1" fmla="val -67169"/>
            <a:gd name="adj2" fmla="val -34035"/>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lang="es-CL" sz="1000" b="0" i="0" baseline="0">
              <a:solidFill>
                <a:schemeClr val="dk1"/>
              </a:solidFill>
              <a:effectLst/>
              <a:latin typeface="Arial" panose="020B0604020202020204" pitchFamily="34" charset="0"/>
              <a:ea typeface="+mn-ea"/>
              <a:cs typeface="Arial" panose="020B0604020202020204" pitchFamily="34" charset="0"/>
            </a:rPr>
            <a:t>Se debe deducir este monto ya que, si bien formó parte de la RLI del ejercicio, no se traduce en un activo para la empresa, como si ocurre con el crédito por IPE imputable al  IDPC.</a:t>
          </a:r>
          <a:endParaRPr lang="es-CL" sz="1000">
            <a:effectLst/>
            <a:latin typeface="Arial" panose="020B0604020202020204" pitchFamily="34" charset="0"/>
            <a:cs typeface="Arial" panose="020B0604020202020204" pitchFamily="34" charset="0"/>
          </a:endParaRPr>
        </a:p>
      </xdr:txBody>
    </xdr:sp>
    <xdr:clientData/>
  </xdr:twoCellAnchor>
  <xdr:twoCellAnchor>
    <xdr:from>
      <xdr:col>6</xdr:col>
      <xdr:colOff>412751</xdr:colOff>
      <xdr:row>5</xdr:row>
      <xdr:rowOff>63499</xdr:rowOff>
    </xdr:from>
    <xdr:to>
      <xdr:col>8</xdr:col>
      <xdr:colOff>822615</xdr:colOff>
      <xdr:row>7</xdr:row>
      <xdr:rowOff>173181</xdr:rowOff>
    </xdr:to>
    <xdr:sp macro="" textlink="">
      <xdr:nvSpPr>
        <xdr:cNvPr id="3" name="Speech Bubble: Rectangle 2">
          <a:extLst>
            <a:ext uri="{FF2B5EF4-FFF2-40B4-BE49-F238E27FC236}">
              <a16:creationId xmlns:a16="http://schemas.microsoft.com/office/drawing/2014/main" id="{00000000-0008-0000-0600-000003000000}"/>
            </a:ext>
          </a:extLst>
        </xdr:cNvPr>
        <xdr:cNvSpPr/>
      </xdr:nvSpPr>
      <xdr:spPr>
        <a:xfrm>
          <a:off x="6127751" y="1068916"/>
          <a:ext cx="2526531" cy="490682"/>
        </a:xfrm>
        <a:prstGeom prst="wedgeRectCallout">
          <a:avLst>
            <a:gd name="adj1" fmla="val -75801"/>
            <a:gd name="adj2" fmla="val 56262"/>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Arial"/>
            </a:rPr>
            <a:t>Partidas que han disminuido</a:t>
          </a:r>
          <a:r>
            <a:rPr lang="es-CL" sz="1000" baseline="0">
              <a:solidFill>
                <a:schemeClr val="tx1"/>
              </a:solidFill>
              <a:latin typeface="Arial"/>
            </a:rPr>
            <a:t> el CPTS pero que no afectan la base imponible.</a:t>
          </a:r>
          <a:endParaRPr lang="es-CL" sz="1000">
            <a:solidFill>
              <a:schemeClr val="tx1"/>
            </a:solidFill>
            <a:latin typeface="Aria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212912</xdr:colOff>
      <xdr:row>5</xdr:row>
      <xdr:rowOff>190501</xdr:rowOff>
    </xdr:from>
    <xdr:to>
      <xdr:col>16</xdr:col>
      <xdr:colOff>254499</xdr:colOff>
      <xdr:row>8</xdr:row>
      <xdr:rowOff>5044</xdr:rowOff>
    </xdr:to>
    <xdr:sp macro="" textlink="">
      <xdr:nvSpPr>
        <xdr:cNvPr id="3" name="Speech Bubble: Rectangle 2">
          <a:extLst>
            <a:ext uri="{FF2B5EF4-FFF2-40B4-BE49-F238E27FC236}">
              <a16:creationId xmlns:a16="http://schemas.microsoft.com/office/drawing/2014/main" id="{00000000-0008-0000-0300-000003000000}"/>
            </a:ext>
          </a:extLst>
        </xdr:cNvPr>
        <xdr:cNvSpPr/>
      </xdr:nvSpPr>
      <xdr:spPr>
        <a:xfrm>
          <a:off x="8583706" y="1355913"/>
          <a:ext cx="3291293" cy="419660"/>
        </a:xfrm>
        <a:prstGeom prst="wedgeRectCallout">
          <a:avLst>
            <a:gd name="adj1" fmla="val -77805"/>
            <a:gd name="adj2" fmla="val -28344"/>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marL="0" marR="0" lvl="0" indent="0" algn="just" defTabSz="914400" eaLnBrk="1" fontAlgn="auto" latinLnBrk="0" hangingPunct="1">
            <a:lnSpc>
              <a:spcPct val="100000"/>
            </a:lnSpc>
            <a:spcBef>
              <a:spcPts val="0"/>
            </a:spcBef>
            <a:spcAft>
              <a:spcPts val="0"/>
            </a:spcAft>
            <a:buClrTx/>
            <a:buSzTx/>
            <a:buFontTx/>
            <a:buNone/>
            <a:tabLst/>
            <a:defRPr/>
          </a:pPr>
          <a:r>
            <a:rPr kumimoji="0" lang="es-CL" sz="1000" b="0" i="0" u="none" strike="noStrike" kern="0" cap="none" spc="0" normalizeH="0" baseline="0">
              <a:ln>
                <a:noFill/>
              </a:ln>
              <a:solidFill>
                <a:schemeClr val="tx1"/>
              </a:solidFill>
              <a:effectLst/>
              <a:uLnTx/>
              <a:uFillTx/>
              <a:latin typeface="Arial"/>
              <a:ea typeface="+mn-ea"/>
              <a:cs typeface="+mn-cs"/>
            </a:rPr>
            <a:t>Corresponde al monto del dividendo percibido líquido desde el extranjero más el CTD determinado.</a:t>
          </a:r>
        </a:p>
      </xdr:txBody>
    </xdr:sp>
    <xdr:clientData/>
  </xdr:twoCellAnchor>
  <xdr:twoCellAnchor editAs="oneCell">
    <xdr:from>
      <xdr:col>6</xdr:col>
      <xdr:colOff>0</xdr:colOff>
      <xdr:row>1</xdr:row>
      <xdr:rowOff>47625</xdr:rowOff>
    </xdr:from>
    <xdr:to>
      <xdr:col>9</xdr:col>
      <xdr:colOff>247650</xdr:colOff>
      <xdr:row>3</xdr:row>
      <xdr:rowOff>226483</xdr:rowOff>
    </xdr:to>
    <xdr:pic>
      <xdr:nvPicPr>
        <xdr:cNvPr id="2" name="Imagen 2" descr="logo_sii">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7050" y="257175"/>
          <a:ext cx="119062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222250</xdr:colOff>
      <xdr:row>17</xdr:row>
      <xdr:rowOff>44823</xdr:rowOff>
    </xdr:from>
    <xdr:to>
      <xdr:col>18</xdr:col>
      <xdr:colOff>359834</xdr:colOff>
      <xdr:row>18</xdr:row>
      <xdr:rowOff>319369</xdr:rowOff>
    </xdr:to>
    <xdr:sp macro="" textlink="">
      <xdr:nvSpPr>
        <xdr:cNvPr id="4" name="Speech Bubble: Rectangle 6">
          <a:extLst>
            <a:ext uri="{FF2B5EF4-FFF2-40B4-BE49-F238E27FC236}">
              <a16:creationId xmlns:a16="http://schemas.microsoft.com/office/drawing/2014/main" id="{00000000-0008-0000-0300-000004000000}"/>
            </a:ext>
          </a:extLst>
        </xdr:cNvPr>
        <xdr:cNvSpPr/>
      </xdr:nvSpPr>
      <xdr:spPr>
        <a:xfrm>
          <a:off x="8773583" y="3526740"/>
          <a:ext cx="4508501" cy="475629"/>
        </a:xfrm>
        <a:prstGeom prst="wedgeRectCallout">
          <a:avLst>
            <a:gd name="adj1" fmla="val -70069"/>
            <a:gd name="adj2" fmla="val 17119"/>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b="0" i="0" u="none" strike="noStrike" baseline="0">
              <a:solidFill>
                <a:schemeClr val="tx1"/>
              </a:solidFill>
              <a:latin typeface="Arial"/>
              <a:ea typeface="+mn-ea"/>
              <a:cs typeface="+mn-cs"/>
            </a:rPr>
            <a:t>Corresponde a compras o servicios </a:t>
          </a:r>
          <a:r>
            <a:rPr lang="es-CL" sz="1000" b="1" i="0" u="none" strike="noStrike" baseline="0">
              <a:solidFill>
                <a:schemeClr val="tx1"/>
              </a:solidFill>
              <a:latin typeface="Arial"/>
              <a:ea typeface="+mn-ea"/>
              <a:cs typeface="+mn-cs"/>
            </a:rPr>
            <a:t>del negocio </a:t>
          </a:r>
          <a:r>
            <a:rPr lang="es-CL" sz="1000" b="0" i="0" u="none" strike="noStrike" baseline="0">
              <a:solidFill>
                <a:schemeClr val="tx1"/>
              </a:solidFill>
              <a:latin typeface="Arial"/>
              <a:ea typeface="+mn-ea"/>
              <a:cs typeface="+mn-cs"/>
            </a:rPr>
            <a:t>que se hayan adeudado en el año 2024 y se paguen en el 2025.</a:t>
          </a:r>
        </a:p>
      </xdr:txBody>
    </xdr:sp>
    <xdr:clientData/>
  </xdr:twoCellAnchor>
  <xdr:twoCellAnchor>
    <xdr:from>
      <xdr:col>6</xdr:col>
      <xdr:colOff>234766</xdr:colOff>
      <xdr:row>20</xdr:row>
      <xdr:rowOff>155483</xdr:rowOff>
    </xdr:from>
    <xdr:to>
      <xdr:col>18</xdr:col>
      <xdr:colOff>384504</xdr:colOff>
      <xdr:row>23</xdr:row>
      <xdr:rowOff>38521</xdr:rowOff>
    </xdr:to>
    <xdr:sp macro="" textlink="">
      <xdr:nvSpPr>
        <xdr:cNvPr id="5" name="Speech Bubble: Rectangle 6">
          <a:extLst>
            <a:ext uri="{FF2B5EF4-FFF2-40B4-BE49-F238E27FC236}">
              <a16:creationId xmlns:a16="http://schemas.microsoft.com/office/drawing/2014/main" id="{00000000-0008-0000-0300-000005000000}"/>
            </a:ext>
          </a:extLst>
        </xdr:cNvPr>
        <xdr:cNvSpPr/>
      </xdr:nvSpPr>
      <xdr:spPr>
        <a:xfrm>
          <a:off x="8605560" y="4604218"/>
          <a:ext cx="4486415" cy="488156"/>
        </a:xfrm>
        <a:prstGeom prst="wedgeRectCallout">
          <a:avLst>
            <a:gd name="adj1" fmla="val -70065"/>
            <a:gd name="adj2" fmla="val -59885"/>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b="0" i="0" u="none" strike="noStrike" baseline="0">
              <a:solidFill>
                <a:schemeClr val="tx1"/>
              </a:solidFill>
              <a:latin typeface="Arial"/>
              <a:ea typeface="+mn-ea"/>
              <a:cs typeface="+mn-cs"/>
            </a:rPr>
            <a:t>Los otros gastos adeudados en el año 2024 y pagados en el 2025, deben ser deducidos en el concepto que corresponda.</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247650</xdr:colOff>
      <xdr:row>3</xdr:row>
      <xdr:rowOff>133350</xdr:rowOff>
    </xdr:to>
    <xdr:pic>
      <xdr:nvPicPr>
        <xdr:cNvPr id="5" name="Imagen 2" descr="logo_sii">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39200" y="200025"/>
          <a:ext cx="119062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44450</xdr:colOff>
      <xdr:row>4</xdr:row>
      <xdr:rowOff>152400</xdr:rowOff>
    </xdr:from>
    <xdr:to>
      <xdr:col>13</xdr:col>
      <xdr:colOff>138994</xdr:colOff>
      <xdr:row>8</xdr:row>
      <xdr:rowOff>183797</xdr:rowOff>
    </xdr:to>
    <xdr:sp macro="" textlink="">
      <xdr:nvSpPr>
        <xdr:cNvPr id="3" name="Speech Bubble: Rectangle 1">
          <a:extLst>
            <a:ext uri="{FF2B5EF4-FFF2-40B4-BE49-F238E27FC236}">
              <a16:creationId xmlns:a16="http://schemas.microsoft.com/office/drawing/2014/main" id="{00000000-0008-0000-0500-000003000000}"/>
            </a:ext>
          </a:extLst>
        </xdr:cNvPr>
        <xdr:cNvSpPr/>
      </xdr:nvSpPr>
      <xdr:spPr>
        <a:xfrm>
          <a:off x="9081770" y="960120"/>
          <a:ext cx="2456744" cy="831497"/>
        </a:xfrm>
        <a:prstGeom prst="wedgeRectCallout">
          <a:avLst>
            <a:gd name="adj1" fmla="val -80009"/>
            <a:gd name="adj2" fmla="val 38416"/>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
            </a:rPr>
            <a:t>Corresponde</a:t>
          </a:r>
          <a:r>
            <a:rPr lang="es-CL" sz="1000" baseline="0">
              <a:solidFill>
                <a:schemeClr val="tx1"/>
              </a:solidFill>
              <a:latin typeface=""/>
            </a:rPr>
            <a:t> a la sumatoria del saldo inicial de INR de $80.000 más el INR recibido durante el ejercicio de $80.000, y antes de imputar los retiros.</a:t>
          </a:r>
          <a:endParaRPr lang="es-CL" sz="1000">
            <a:solidFill>
              <a:schemeClr val="tx1"/>
            </a:solidFill>
            <a:latin typeface=""/>
          </a:endParaRPr>
        </a:p>
      </xdr:txBody>
    </xdr:sp>
    <xdr:clientData/>
  </xdr:twoCellAnchor>
  <xdr:twoCellAnchor>
    <xdr:from>
      <xdr:col>6</xdr:col>
      <xdr:colOff>34925</xdr:colOff>
      <xdr:row>9</xdr:row>
      <xdr:rowOff>136523</xdr:rowOff>
    </xdr:from>
    <xdr:to>
      <xdr:col>13</xdr:col>
      <xdr:colOff>132644</xdr:colOff>
      <xdr:row>12</xdr:row>
      <xdr:rowOff>276224</xdr:rowOff>
    </xdr:to>
    <xdr:sp macro="" textlink="">
      <xdr:nvSpPr>
        <xdr:cNvPr id="4" name="Speech Bubble: Rectangle 1">
          <a:extLst>
            <a:ext uri="{FF2B5EF4-FFF2-40B4-BE49-F238E27FC236}">
              <a16:creationId xmlns:a16="http://schemas.microsoft.com/office/drawing/2014/main" id="{00000000-0008-0000-0500-000004000000}"/>
            </a:ext>
          </a:extLst>
        </xdr:cNvPr>
        <xdr:cNvSpPr/>
      </xdr:nvSpPr>
      <xdr:spPr>
        <a:xfrm>
          <a:off x="8967258" y="1935690"/>
          <a:ext cx="2457803" cy="795867"/>
        </a:xfrm>
        <a:prstGeom prst="wedgeRectCallout">
          <a:avLst>
            <a:gd name="adj1" fmla="val -80690"/>
            <a:gd name="adj2" fmla="val -53804"/>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just"/>
          <a:r>
            <a:rPr lang="es-CL" sz="1000">
              <a:solidFill>
                <a:schemeClr val="tx1"/>
              </a:solidFill>
              <a:latin typeface=""/>
            </a:rPr>
            <a:t>Corresponde</a:t>
          </a:r>
          <a:r>
            <a:rPr lang="es-CL" sz="1000" baseline="0">
              <a:solidFill>
                <a:schemeClr val="tx1"/>
              </a:solidFill>
              <a:latin typeface=""/>
            </a:rPr>
            <a:t> al </a:t>
          </a:r>
          <a:r>
            <a:rPr lang="es-CL" sz="1000">
              <a:solidFill>
                <a:schemeClr val="tx1"/>
              </a:solidFill>
              <a:latin typeface=""/>
              <a:ea typeface="+mn-ea"/>
              <a:cs typeface="+mn-cs"/>
            </a:rPr>
            <a:t>capital aportado reajustado al 31.12.20</a:t>
          </a:r>
          <a:r>
            <a:rPr lang="es-CL" sz="1000" strike="noStrike" baseline="0">
              <a:solidFill>
                <a:schemeClr val="tx1"/>
              </a:solidFill>
              <a:latin typeface=""/>
              <a:ea typeface="+mn-ea"/>
              <a:cs typeface="+mn-cs"/>
            </a:rPr>
            <a:t>19</a:t>
          </a:r>
          <a:r>
            <a:rPr lang="es-CL" sz="1000">
              <a:solidFill>
                <a:schemeClr val="tx1"/>
              </a:solidFill>
              <a:latin typeface=""/>
              <a:ea typeface="+mn-ea"/>
              <a:cs typeface="+mn-cs"/>
            </a:rPr>
            <a:t>, sin reajuste por los años 2020</a:t>
          </a:r>
          <a:r>
            <a:rPr lang="es-CL" sz="1000" baseline="0">
              <a:solidFill>
                <a:schemeClr val="tx1"/>
              </a:solidFill>
              <a:latin typeface=""/>
              <a:ea typeface="+mn-ea"/>
              <a:cs typeface="+mn-cs"/>
            </a:rPr>
            <a:t>, </a:t>
          </a:r>
          <a:r>
            <a:rPr lang="es-CL" sz="1000">
              <a:solidFill>
                <a:schemeClr val="tx1"/>
              </a:solidFill>
              <a:latin typeface=""/>
              <a:ea typeface="+mn-ea"/>
              <a:cs typeface="+mn-cs"/>
            </a:rPr>
            <a:t>2021, 2022, 2023, 2024 y 2025.</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6</xdr:col>
      <xdr:colOff>0</xdr:colOff>
      <xdr:row>1</xdr:row>
      <xdr:rowOff>0</xdr:rowOff>
    </xdr:from>
    <xdr:to>
      <xdr:col>9</xdr:col>
      <xdr:colOff>247650</xdr:colOff>
      <xdr:row>3</xdr:row>
      <xdr:rowOff>51858</xdr:rowOff>
    </xdr:to>
    <xdr:pic>
      <xdr:nvPicPr>
        <xdr:cNvPr id="2" name="Imagen 2" descr="logo_sii">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743950" y="209550"/>
          <a:ext cx="1190625" cy="514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17</xdr:col>
      <xdr:colOff>123825</xdr:colOff>
      <xdr:row>1</xdr:row>
      <xdr:rowOff>0</xdr:rowOff>
    </xdr:from>
    <xdr:to>
      <xdr:col>18</xdr:col>
      <xdr:colOff>593725</xdr:colOff>
      <xdr:row>3</xdr:row>
      <xdr:rowOff>41275</xdr:rowOff>
    </xdr:to>
    <xdr:pic>
      <xdr:nvPicPr>
        <xdr:cNvPr id="2" name="Imagen 2" descr="logo_sii">
          <a:extLst>
            <a:ext uri="{FF2B5EF4-FFF2-40B4-BE49-F238E27FC236}">
              <a16:creationId xmlns:a16="http://schemas.microsoft.com/office/drawing/2014/main" id="{3C663203-F8FC-484C-9F3B-D2CA1547F5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039725" y="171450"/>
          <a:ext cx="1231900" cy="517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2779184</xdr:colOff>
      <xdr:row>18</xdr:row>
      <xdr:rowOff>84667</xdr:rowOff>
    </xdr:from>
    <xdr:to>
      <xdr:col>2</xdr:col>
      <xdr:colOff>369835</xdr:colOff>
      <xdr:row>22</xdr:row>
      <xdr:rowOff>31903</xdr:rowOff>
    </xdr:to>
    <xdr:sp macro="" textlink="">
      <xdr:nvSpPr>
        <xdr:cNvPr id="4" name="Speech Bubble: Rectangle 1">
          <a:extLst>
            <a:ext uri="{FF2B5EF4-FFF2-40B4-BE49-F238E27FC236}">
              <a16:creationId xmlns:a16="http://schemas.microsoft.com/office/drawing/2014/main" id="{2641F65D-D561-463C-981F-395D257E124B}"/>
            </a:ext>
          </a:extLst>
        </xdr:cNvPr>
        <xdr:cNvSpPr/>
      </xdr:nvSpPr>
      <xdr:spPr>
        <a:xfrm>
          <a:off x="3086101" y="4413250"/>
          <a:ext cx="1569984" cy="582236"/>
        </a:xfrm>
        <a:prstGeom prst="wedgeRectCallout">
          <a:avLst>
            <a:gd name="adj1" fmla="val 93525"/>
            <a:gd name="adj2" fmla="val -317388"/>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L" sz="1000">
              <a:solidFill>
                <a:schemeClr val="tx1"/>
              </a:solidFill>
              <a:latin typeface="Arial"/>
            </a:rPr>
            <a:t>Corresponde</a:t>
          </a:r>
          <a:r>
            <a:rPr lang="es-CL" sz="1000" baseline="0">
              <a:solidFill>
                <a:schemeClr val="tx1"/>
              </a:solidFill>
              <a:latin typeface="Arial"/>
            </a:rPr>
            <a:t> al monto del RAI determinado al 31.12.2025.</a:t>
          </a:r>
          <a:endParaRPr lang="es-CL" sz="1000">
            <a:solidFill>
              <a:schemeClr val="tx1"/>
            </a:solidFill>
            <a:latin typeface="Arial"/>
          </a:endParaRPr>
        </a:p>
      </xdr:txBody>
    </xdr:sp>
    <xdr:clientData/>
  </xdr:twoCellAnchor>
  <xdr:twoCellAnchor>
    <xdr:from>
      <xdr:col>5</xdr:col>
      <xdr:colOff>53973</xdr:colOff>
      <xdr:row>18</xdr:row>
      <xdr:rowOff>88898</xdr:rowOff>
    </xdr:from>
    <xdr:to>
      <xdr:col>6</xdr:col>
      <xdr:colOff>393698</xdr:colOff>
      <xdr:row>20</xdr:row>
      <xdr:rowOff>50798</xdr:rowOff>
    </xdr:to>
    <xdr:sp macro="" textlink="">
      <xdr:nvSpPr>
        <xdr:cNvPr id="5" name="Speech Bubble: Rectangle 1">
          <a:extLst>
            <a:ext uri="{FF2B5EF4-FFF2-40B4-BE49-F238E27FC236}">
              <a16:creationId xmlns:a16="http://schemas.microsoft.com/office/drawing/2014/main" id="{E67223ED-D32A-4B5F-9FF6-DB2FD6C01E3C}"/>
            </a:ext>
          </a:extLst>
        </xdr:cNvPr>
        <xdr:cNvSpPr/>
      </xdr:nvSpPr>
      <xdr:spPr>
        <a:xfrm>
          <a:off x="6149973" y="4417481"/>
          <a:ext cx="1281642" cy="279400"/>
        </a:xfrm>
        <a:prstGeom prst="wedgeRectCallout">
          <a:avLst>
            <a:gd name="adj1" fmla="val -100767"/>
            <a:gd name="adj2" fmla="val -719781"/>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L" sz="1000">
              <a:solidFill>
                <a:schemeClr val="tx1"/>
              </a:solidFill>
              <a:latin typeface="Arial"/>
            </a:rPr>
            <a:t>Reverso RAI.</a:t>
          </a:r>
        </a:p>
      </xdr:txBody>
    </xdr:sp>
    <xdr:clientData/>
  </xdr:twoCellAnchor>
  <xdr:twoCellAnchor>
    <xdr:from>
      <xdr:col>13</xdr:col>
      <xdr:colOff>677334</xdr:colOff>
      <xdr:row>18</xdr:row>
      <xdr:rowOff>135731</xdr:rowOff>
    </xdr:from>
    <xdr:to>
      <xdr:col>17</xdr:col>
      <xdr:colOff>343960</xdr:colOff>
      <xdr:row>23</xdr:row>
      <xdr:rowOff>43684</xdr:rowOff>
    </xdr:to>
    <xdr:sp macro="" textlink="">
      <xdr:nvSpPr>
        <xdr:cNvPr id="6" name="Speech Bubble: Rectangle 1">
          <a:extLst>
            <a:ext uri="{FF2B5EF4-FFF2-40B4-BE49-F238E27FC236}">
              <a16:creationId xmlns:a16="http://schemas.microsoft.com/office/drawing/2014/main" id="{DA6CFB05-6804-4A56-8B2B-B02B23D9BBF8}"/>
            </a:ext>
          </a:extLst>
        </xdr:cNvPr>
        <xdr:cNvSpPr/>
      </xdr:nvSpPr>
      <xdr:spPr>
        <a:xfrm>
          <a:off x="12393084" y="3977481"/>
          <a:ext cx="2132543" cy="701703"/>
        </a:xfrm>
        <a:prstGeom prst="wedgeRectCallout">
          <a:avLst>
            <a:gd name="adj1" fmla="val -42793"/>
            <a:gd name="adj2" fmla="val -218408"/>
          </a:avLst>
        </a:prstGeom>
        <a:solidFill>
          <a:schemeClr val="accent6">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L" sz="1000">
              <a:solidFill>
                <a:schemeClr val="tx1"/>
              </a:solidFill>
              <a:latin typeface="Arial"/>
            </a:rPr>
            <a:t>Corresponde</a:t>
          </a:r>
          <a:r>
            <a:rPr lang="es-CL" sz="1000" baseline="0">
              <a:solidFill>
                <a:schemeClr val="tx1"/>
              </a:solidFill>
              <a:latin typeface="Arial"/>
            </a:rPr>
            <a:t> al monto percibido por concepto de  dividendos calificados como INR.</a:t>
          </a:r>
          <a:endParaRPr lang="es-CL" sz="1000">
            <a:solidFill>
              <a:schemeClr val="tx1"/>
            </a:solidFill>
            <a:latin typeface="Aria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erardo.escudero/Mis%20documentos/Escritorio/Great/Hoja%20de%20Trabajo/Cuadratura/Cuadratura%20DDJJ%20DGC%20V2%20Cuenta%20AT%202013.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bout:blank"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versoCon"/>
      <sheetName val="ReversoCon"/>
      <sheetName val="Instrucciones"/>
      <sheetName val="Registrar F.22 AT.2013"/>
      <sheetName val="Registrar F.22 AT.2012"/>
      <sheetName val="Registrar DDJJ 1872"/>
      <sheetName val="1846 Res.Balance"/>
      <sheetName val="1846 Base Imponible"/>
      <sheetName val="Datos 1847"/>
      <sheetName val="Hoja de Trabajo"/>
      <sheetName val="Anexo HT Corr.Mon."/>
      <sheetName val="Comprobacion Analitica"/>
      <sheetName val="Factor Corr.Mon."/>
      <sheetName val="Anexo 1 AT.2013"/>
      <sheetName val="Anexo 2 AT.2013"/>
      <sheetName val="F1846 (AT.2013)"/>
      <sheetName val="F1847 (AT.2013)"/>
      <sheetName val="F1872 (AT.2013)"/>
      <sheetName val="Anexo (AT.2011)"/>
      <sheetName val="Anexo 2 (AT.2011)"/>
    </sheetNames>
    <sheetDataSet>
      <sheetData sheetId="0"/>
      <sheetData sheetId="1"/>
      <sheetData sheetId="2"/>
      <sheetData sheetId="3">
        <row r="2">
          <cell r="A2">
            <v>1</v>
          </cell>
          <cell r="B2" t="str">
            <v xml:space="preserve"> </v>
          </cell>
        </row>
        <row r="3">
          <cell r="A3">
            <v>2</v>
          </cell>
          <cell r="B3" t="str">
            <v xml:space="preserve"> </v>
          </cell>
        </row>
        <row r="4">
          <cell r="A4">
            <v>5</v>
          </cell>
          <cell r="B4" t="str">
            <v xml:space="preserve"> </v>
          </cell>
        </row>
        <row r="5">
          <cell r="A5">
            <v>6</v>
          </cell>
          <cell r="B5" t="str">
            <v xml:space="preserve"> </v>
          </cell>
        </row>
        <row r="6">
          <cell r="A6">
            <v>9</v>
          </cell>
          <cell r="B6" t="str">
            <v xml:space="preserve"> </v>
          </cell>
        </row>
        <row r="7">
          <cell r="A7">
            <v>8</v>
          </cell>
          <cell r="B7" t="str">
            <v xml:space="preserve"> </v>
          </cell>
        </row>
        <row r="8">
          <cell r="A8">
            <v>7</v>
          </cell>
          <cell r="B8" t="str">
            <v xml:space="preserve"> </v>
          </cell>
        </row>
        <row r="9">
          <cell r="A9">
            <v>3</v>
          </cell>
          <cell r="B9" t="str">
            <v xml:space="preserve"> </v>
          </cell>
        </row>
        <row r="10">
          <cell r="A10">
            <v>0</v>
          </cell>
          <cell r="B10" t="str">
            <v xml:space="preserve"> </v>
          </cell>
        </row>
        <row r="11">
          <cell r="A11">
            <v>0</v>
          </cell>
          <cell r="B11" t="str">
            <v xml:space="preserve"> </v>
          </cell>
        </row>
        <row r="12">
          <cell r="A12">
            <v>0</v>
          </cell>
          <cell r="B12">
            <v>0</v>
          </cell>
        </row>
        <row r="13">
          <cell r="A13">
            <v>0</v>
          </cell>
          <cell r="B13">
            <v>0</v>
          </cell>
        </row>
        <row r="14">
          <cell r="A14">
            <v>0</v>
          </cell>
          <cell r="B14">
            <v>0</v>
          </cell>
        </row>
        <row r="15">
          <cell r="A15">
            <v>0</v>
          </cell>
          <cell r="B15">
            <v>0</v>
          </cell>
        </row>
        <row r="16">
          <cell r="A16">
            <v>0</v>
          </cell>
          <cell r="B16">
            <v>0</v>
          </cell>
        </row>
        <row r="17">
          <cell r="A17">
            <v>0</v>
          </cell>
          <cell r="B17">
            <v>0</v>
          </cell>
        </row>
        <row r="18">
          <cell r="A18">
            <v>0</v>
          </cell>
          <cell r="B18">
            <v>0</v>
          </cell>
        </row>
        <row r="19">
          <cell r="A19">
            <v>0</v>
          </cell>
          <cell r="B19">
            <v>0</v>
          </cell>
        </row>
        <row r="20">
          <cell r="A20">
            <v>0</v>
          </cell>
          <cell r="B20">
            <v>0</v>
          </cell>
        </row>
        <row r="21">
          <cell r="A21">
            <v>0</v>
          </cell>
          <cell r="B21">
            <v>0</v>
          </cell>
        </row>
        <row r="22">
          <cell r="A22">
            <v>0</v>
          </cell>
          <cell r="B22">
            <v>0</v>
          </cell>
        </row>
        <row r="23">
          <cell r="A23">
            <v>0</v>
          </cell>
          <cell r="B23">
            <v>0</v>
          </cell>
        </row>
        <row r="24">
          <cell r="A24">
            <v>0</v>
          </cell>
          <cell r="B24">
            <v>0</v>
          </cell>
        </row>
        <row r="25">
          <cell r="A25">
            <v>0</v>
          </cell>
          <cell r="B25">
            <v>0</v>
          </cell>
        </row>
        <row r="26">
          <cell r="A26">
            <v>0</v>
          </cell>
          <cell r="B26">
            <v>0</v>
          </cell>
        </row>
        <row r="27">
          <cell r="A27">
            <v>0</v>
          </cell>
          <cell r="B27">
            <v>0</v>
          </cell>
        </row>
        <row r="28">
          <cell r="A28">
            <v>0</v>
          </cell>
          <cell r="B28">
            <v>0</v>
          </cell>
        </row>
        <row r="29">
          <cell r="A29">
            <v>0</v>
          </cell>
          <cell r="B29">
            <v>0</v>
          </cell>
        </row>
        <row r="30">
          <cell r="A30">
            <v>0</v>
          </cell>
          <cell r="B30">
            <v>0</v>
          </cell>
        </row>
        <row r="31">
          <cell r="A31">
            <v>0</v>
          </cell>
          <cell r="B31">
            <v>0</v>
          </cell>
        </row>
        <row r="32">
          <cell r="A32">
            <v>0</v>
          </cell>
          <cell r="B32">
            <v>0</v>
          </cell>
        </row>
        <row r="33">
          <cell r="A33">
            <v>0</v>
          </cell>
          <cell r="B33">
            <v>0</v>
          </cell>
        </row>
        <row r="34">
          <cell r="A34">
            <v>0</v>
          </cell>
          <cell r="B34">
            <v>0</v>
          </cell>
        </row>
        <row r="35">
          <cell r="A35">
            <v>0</v>
          </cell>
          <cell r="B35">
            <v>0</v>
          </cell>
        </row>
        <row r="36">
          <cell r="A36">
            <v>0</v>
          </cell>
          <cell r="B36">
            <v>0</v>
          </cell>
        </row>
        <row r="37">
          <cell r="A37">
            <v>0</v>
          </cell>
          <cell r="B37">
            <v>0</v>
          </cell>
        </row>
        <row r="38">
          <cell r="A38">
            <v>0</v>
          </cell>
          <cell r="B38">
            <v>0</v>
          </cell>
        </row>
        <row r="39">
          <cell r="A39">
            <v>0</v>
          </cell>
          <cell r="B39">
            <v>0</v>
          </cell>
        </row>
        <row r="40">
          <cell r="A40">
            <v>0</v>
          </cell>
          <cell r="B40">
            <v>0</v>
          </cell>
        </row>
        <row r="41">
          <cell r="A41">
            <v>0</v>
          </cell>
          <cell r="B41">
            <v>0</v>
          </cell>
        </row>
        <row r="42">
          <cell r="A42">
            <v>0</v>
          </cell>
          <cell r="B42">
            <v>0</v>
          </cell>
        </row>
        <row r="43">
          <cell r="A43">
            <v>0</v>
          </cell>
          <cell r="B43">
            <v>0</v>
          </cell>
        </row>
        <row r="44">
          <cell r="A44">
            <v>0</v>
          </cell>
          <cell r="B44">
            <v>0</v>
          </cell>
        </row>
        <row r="45">
          <cell r="A45">
            <v>0</v>
          </cell>
          <cell r="B45">
            <v>0</v>
          </cell>
        </row>
        <row r="46">
          <cell r="A46">
            <v>0</v>
          </cell>
          <cell r="B46">
            <v>0</v>
          </cell>
        </row>
        <row r="47">
          <cell r="A47">
            <v>0</v>
          </cell>
          <cell r="B47">
            <v>0</v>
          </cell>
        </row>
        <row r="48">
          <cell r="A48">
            <v>0</v>
          </cell>
          <cell r="B48">
            <v>0</v>
          </cell>
        </row>
        <row r="49">
          <cell r="A49">
            <v>0</v>
          </cell>
          <cell r="B49">
            <v>0</v>
          </cell>
        </row>
        <row r="50">
          <cell r="A50">
            <v>0</v>
          </cell>
          <cell r="B50">
            <v>0</v>
          </cell>
        </row>
        <row r="51">
          <cell r="A51">
            <v>0</v>
          </cell>
          <cell r="B51">
            <v>0</v>
          </cell>
        </row>
        <row r="52">
          <cell r="A52">
            <v>0</v>
          </cell>
          <cell r="B52">
            <v>0</v>
          </cell>
        </row>
        <row r="53">
          <cell r="A53">
            <v>0</v>
          </cell>
          <cell r="B53">
            <v>0</v>
          </cell>
        </row>
        <row r="54">
          <cell r="A54">
            <v>0</v>
          </cell>
          <cell r="B54">
            <v>0</v>
          </cell>
        </row>
        <row r="55">
          <cell r="A55">
            <v>0</v>
          </cell>
          <cell r="B55">
            <v>0</v>
          </cell>
        </row>
        <row r="56">
          <cell r="A56">
            <v>0</v>
          </cell>
          <cell r="B56">
            <v>0</v>
          </cell>
        </row>
        <row r="57">
          <cell r="A57">
            <v>0</v>
          </cell>
          <cell r="B57">
            <v>0</v>
          </cell>
        </row>
        <row r="58">
          <cell r="A58">
            <v>0</v>
          </cell>
          <cell r="B58">
            <v>0</v>
          </cell>
        </row>
        <row r="59">
          <cell r="A59">
            <v>0</v>
          </cell>
          <cell r="B59">
            <v>0</v>
          </cell>
        </row>
        <row r="60">
          <cell r="A60">
            <v>0</v>
          </cell>
          <cell r="B60">
            <v>0</v>
          </cell>
        </row>
        <row r="61">
          <cell r="A61">
            <v>0</v>
          </cell>
          <cell r="B61">
            <v>0</v>
          </cell>
        </row>
        <row r="62">
          <cell r="A62">
            <v>0</v>
          </cell>
          <cell r="B62">
            <v>0</v>
          </cell>
        </row>
        <row r="63">
          <cell r="A63">
            <v>0</v>
          </cell>
          <cell r="B63">
            <v>0</v>
          </cell>
        </row>
        <row r="64">
          <cell r="A64">
            <v>0</v>
          </cell>
          <cell r="B64">
            <v>0</v>
          </cell>
        </row>
        <row r="65">
          <cell r="A65">
            <v>0</v>
          </cell>
          <cell r="B65">
            <v>0</v>
          </cell>
        </row>
        <row r="66">
          <cell r="A66">
            <v>0</v>
          </cell>
          <cell r="B66">
            <v>0</v>
          </cell>
        </row>
        <row r="67">
          <cell r="A67">
            <v>0</v>
          </cell>
          <cell r="B67">
            <v>0</v>
          </cell>
        </row>
        <row r="68">
          <cell r="A68">
            <v>0</v>
          </cell>
          <cell r="B68">
            <v>0</v>
          </cell>
        </row>
        <row r="69">
          <cell r="A69">
            <v>0</v>
          </cell>
          <cell r="B69">
            <v>0</v>
          </cell>
        </row>
        <row r="70">
          <cell r="A70">
            <v>0</v>
          </cell>
          <cell r="B70">
            <v>0</v>
          </cell>
        </row>
        <row r="71">
          <cell r="A71">
            <v>0</v>
          </cell>
          <cell r="B71">
            <v>0</v>
          </cell>
        </row>
        <row r="72">
          <cell r="A72">
            <v>0</v>
          </cell>
          <cell r="B72">
            <v>0</v>
          </cell>
        </row>
        <row r="73">
          <cell r="A73">
            <v>0</v>
          </cell>
          <cell r="B73">
            <v>0</v>
          </cell>
        </row>
        <row r="74">
          <cell r="A74">
            <v>0</v>
          </cell>
          <cell r="B74">
            <v>0</v>
          </cell>
        </row>
        <row r="75">
          <cell r="A75">
            <v>0</v>
          </cell>
          <cell r="B75">
            <v>0</v>
          </cell>
        </row>
        <row r="76">
          <cell r="A76">
            <v>0</v>
          </cell>
          <cell r="B76">
            <v>0</v>
          </cell>
        </row>
        <row r="77">
          <cell r="A77">
            <v>0</v>
          </cell>
          <cell r="B77">
            <v>0</v>
          </cell>
        </row>
        <row r="78">
          <cell r="A78">
            <v>0</v>
          </cell>
          <cell r="B78">
            <v>0</v>
          </cell>
        </row>
        <row r="79">
          <cell r="A79">
            <v>0</v>
          </cell>
          <cell r="B79">
            <v>0</v>
          </cell>
        </row>
        <row r="80">
          <cell r="A80">
            <v>0</v>
          </cell>
          <cell r="B80">
            <v>0</v>
          </cell>
        </row>
        <row r="81">
          <cell r="A81">
            <v>0</v>
          </cell>
          <cell r="B81">
            <v>0</v>
          </cell>
        </row>
        <row r="82">
          <cell r="A82">
            <v>0</v>
          </cell>
          <cell r="B82">
            <v>0</v>
          </cell>
        </row>
        <row r="83">
          <cell r="A83">
            <v>0</v>
          </cell>
          <cell r="B83">
            <v>0</v>
          </cell>
        </row>
        <row r="84">
          <cell r="A84">
            <v>0</v>
          </cell>
          <cell r="B84">
            <v>0</v>
          </cell>
        </row>
        <row r="85">
          <cell r="A85">
            <v>0</v>
          </cell>
          <cell r="B85">
            <v>0</v>
          </cell>
        </row>
        <row r="86">
          <cell r="A86">
            <v>0</v>
          </cell>
          <cell r="B86">
            <v>0</v>
          </cell>
        </row>
        <row r="87">
          <cell r="A87">
            <v>0</v>
          </cell>
          <cell r="B87">
            <v>0</v>
          </cell>
        </row>
        <row r="88">
          <cell r="A88">
            <v>0</v>
          </cell>
          <cell r="B88">
            <v>0</v>
          </cell>
        </row>
        <row r="89">
          <cell r="A89">
            <v>0</v>
          </cell>
          <cell r="B89">
            <v>0</v>
          </cell>
        </row>
        <row r="90">
          <cell r="A90">
            <v>0</v>
          </cell>
          <cell r="B90">
            <v>0</v>
          </cell>
        </row>
        <row r="91">
          <cell r="A91">
            <v>0</v>
          </cell>
          <cell r="B91">
            <v>0</v>
          </cell>
        </row>
        <row r="92">
          <cell r="A92">
            <v>0</v>
          </cell>
          <cell r="B92">
            <v>0</v>
          </cell>
        </row>
        <row r="93">
          <cell r="A93">
            <v>0</v>
          </cell>
          <cell r="B93">
            <v>0</v>
          </cell>
        </row>
        <row r="94">
          <cell r="A94">
            <v>0</v>
          </cell>
          <cell r="B94">
            <v>0</v>
          </cell>
        </row>
        <row r="95">
          <cell r="A95">
            <v>0</v>
          </cell>
          <cell r="B95">
            <v>0</v>
          </cell>
        </row>
        <row r="96">
          <cell r="A96">
            <v>0</v>
          </cell>
          <cell r="B96">
            <v>0</v>
          </cell>
        </row>
        <row r="97">
          <cell r="A97">
            <v>0</v>
          </cell>
          <cell r="B97">
            <v>0</v>
          </cell>
        </row>
        <row r="98">
          <cell r="A98">
            <v>0</v>
          </cell>
          <cell r="B98">
            <v>0</v>
          </cell>
        </row>
        <row r="99">
          <cell r="A99">
            <v>0</v>
          </cell>
          <cell r="B99">
            <v>0</v>
          </cell>
        </row>
        <row r="100">
          <cell r="A100">
            <v>0</v>
          </cell>
          <cell r="B100">
            <v>0</v>
          </cell>
        </row>
        <row r="101">
          <cell r="A101">
            <v>0</v>
          </cell>
          <cell r="B101">
            <v>0</v>
          </cell>
        </row>
        <row r="102">
          <cell r="A102">
            <v>0</v>
          </cell>
          <cell r="B102">
            <v>0</v>
          </cell>
        </row>
        <row r="103">
          <cell r="A103">
            <v>0</v>
          </cell>
          <cell r="B103">
            <v>0</v>
          </cell>
        </row>
        <row r="104">
          <cell r="A104">
            <v>0</v>
          </cell>
          <cell r="B104">
            <v>0</v>
          </cell>
        </row>
        <row r="105">
          <cell r="A105">
            <v>0</v>
          </cell>
          <cell r="B105">
            <v>0</v>
          </cell>
        </row>
        <row r="106">
          <cell r="A106">
            <v>0</v>
          </cell>
          <cell r="B106">
            <v>0</v>
          </cell>
        </row>
        <row r="107">
          <cell r="A107">
            <v>0</v>
          </cell>
          <cell r="B107">
            <v>0</v>
          </cell>
        </row>
        <row r="108">
          <cell r="A108">
            <v>0</v>
          </cell>
          <cell r="B108">
            <v>0</v>
          </cell>
        </row>
        <row r="109">
          <cell r="A109">
            <v>0</v>
          </cell>
          <cell r="B109">
            <v>0</v>
          </cell>
        </row>
        <row r="110">
          <cell r="A110">
            <v>0</v>
          </cell>
          <cell r="B110">
            <v>0</v>
          </cell>
        </row>
        <row r="111">
          <cell r="A111">
            <v>0</v>
          </cell>
          <cell r="B111">
            <v>0</v>
          </cell>
        </row>
        <row r="112">
          <cell r="A112">
            <v>0</v>
          </cell>
          <cell r="B112">
            <v>0</v>
          </cell>
        </row>
        <row r="113">
          <cell r="A113">
            <v>0</v>
          </cell>
          <cell r="B113">
            <v>0</v>
          </cell>
        </row>
        <row r="114">
          <cell r="A114">
            <v>0</v>
          </cell>
          <cell r="B114">
            <v>0</v>
          </cell>
        </row>
        <row r="115">
          <cell r="A115">
            <v>0</v>
          </cell>
          <cell r="B115">
            <v>0</v>
          </cell>
        </row>
        <row r="116">
          <cell r="A116">
            <v>0</v>
          </cell>
          <cell r="B116">
            <v>0</v>
          </cell>
        </row>
        <row r="117">
          <cell r="A117">
            <v>0</v>
          </cell>
          <cell r="B117">
            <v>0</v>
          </cell>
        </row>
        <row r="118">
          <cell r="A118">
            <v>0</v>
          </cell>
          <cell r="B118">
            <v>0</v>
          </cell>
        </row>
        <row r="119">
          <cell r="A119">
            <v>0</v>
          </cell>
          <cell r="B119">
            <v>0</v>
          </cell>
        </row>
        <row r="120">
          <cell r="A120">
            <v>0</v>
          </cell>
          <cell r="B120">
            <v>0</v>
          </cell>
        </row>
        <row r="121">
          <cell r="A121">
            <v>0</v>
          </cell>
          <cell r="B121">
            <v>0</v>
          </cell>
        </row>
        <row r="122">
          <cell r="A122">
            <v>0</v>
          </cell>
          <cell r="B122">
            <v>0</v>
          </cell>
        </row>
        <row r="123">
          <cell r="A123">
            <v>0</v>
          </cell>
          <cell r="B123">
            <v>0</v>
          </cell>
        </row>
        <row r="124">
          <cell r="A124">
            <v>0</v>
          </cell>
          <cell r="B124">
            <v>0</v>
          </cell>
        </row>
        <row r="125">
          <cell r="A125">
            <v>0</v>
          </cell>
          <cell r="B125">
            <v>0</v>
          </cell>
        </row>
        <row r="126">
          <cell r="A126">
            <v>0</v>
          </cell>
          <cell r="B126">
            <v>0</v>
          </cell>
        </row>
        <row r="127">
          <cell r="A127">
            <v>0</v>
          </cell>
          <cell r="B127">
            <v>0</v>
          </cell>
        </row>
        <row r="128">
          <cell r="A128">
            <v>0</v>
          </cell>
          <cell r="B128">
            <v>0</v>
          </cell>
        </row>
        <row r="129">
          <cell r="A129">
            <v>0</v>
          </cell>
          <cell r="B129">
            <v>0</v>
          </cell>
        </row>
        <row r="130">
          <cell r="A130">
            <v>0</v>
          </cell>
          <cell r="B130">
            <v>0</v>
          </cell>
        </row>
        <row r="131">
          <cell r="A131">
            <v>0</v>
          </cell>
          <cell r="B131">
            <v>0</v>
          </cell>
        </row>
        <row r="132">
          <cell r="A132">
            <v>0</v>
          </cell>
          <cell r="B132">
            <v>0</v>
          </cell>
        </row>
        <row r="133">
          <cell r="A133">
            <v>0</v>
          </cell>
          <cell r="B133">
            <v>0</v>
          </cell>
        </row>
        <row r="134">
          <cell r="A134">
            <v>0</v>
          </cell>
          <cell r="B134">
            <v>0</v>
          </cell>
        </row>
        <row r="135">
          <cell r="A135">
            <v>0</v>
          </cell>
          <cell r="B135">
            <v>0</v>
          </cell>
        </row>
        <row r="136">
          <cell r="A136">
            <v>0</v>
          </cell>
          <cell r="B136">
            <v>0</v>
          </cell>
        </row>
        <row r="137">
          <cell r="A137">
            <v>0</v>
          </cell>
          <cell r="B137">
            <v>0</v>
          </cell>
        </row>
        <row r="138">
          <cell r="A138">
            <v>0</v>
          </cell>
          <cell r="B138">
            <v>0</v>
          </cell>
        </row>
        <row r="139">
          <cell r="A139">
            <v>0</v>
          </cell>
          <cell r="B139">
            <v>0</v>
          </cell>
        </row>
        <row r="140">
          <cell r="A140">
            <v>0</v>
          </cell>
          <cell r="B140">
            <v>0</v>
          </cell>
        </row>
        <row r="141">
          <cell r="A141">
            <v>0</v>
          </cell>
          <cell r="B141">
            <v>0</v>
          </cell>
        </row>
        <row r="142">
          <cell r="A142">
            <v>0</v>
          </cell>
          <cell r="B142">
            <v>0</v>
          </cell>
        </row>
        <row r="143">
          <cell r="A143">
            <v>0</v>
          </cell>
          <cell r="B143">
            <v>0</v>
          </cell>
        </row>
        <row r="144">
          <cell r="A144">
            <v>0</v>
          </cell>
          <cell r="B144">
            <v>0</v>
          </cell>
        </row>
        <row r="145">
          <cell r="A145">
            <v>0</v>
          </cell>
          <cell r="B145">
            <v>0</v>
          </cell>
        </row>
        <row r="146">
          <cell r="A146">
            <v>0</v>
          </cell>
          <cell r="B146">
            <v>0</v>
          </cell>
        </row>
        <row r="147">
          <cell r="A147">
            <v>0</v>
          </cell>
          <cell r="B147">
            <v>0</v>
          </cell>
        </row>
        <row r="148">
          <cell r="A148">
            <v>0</v>
          </cell>
          <cell r="B148">
            <v>0</v>
          </cell>
        </row>
        <row r="149">
          <cell r="A149">
            <v>0</v>
          </cell>
          <cell r="B149">
            <v>0</v>
          </cell>
        </row>
        <row r="150">
          <cell r="A150">
            <v>0</v>
          </cell>
          <cell r="B150">
            <v>0</v>
          </cell>
        </row>
        <row r="151">
          <cell r="A151">
            <v>0</v>
          </cell>
          <cell r="B151">
            <v>0</v>
          </cell>
        </row>
        <row r="152">
          <cell r="A152">
            <v>0</v>
          </cell>
          <cell r="B152">
            <v>0</v>
          </cell>
        </row>
        <row r="153">
          <cell r="A153">
            <v>0</v>
          </cell>
          <cell r="B153">
            <v>0</v>
          </cell>
        </row>
        <row r="154">
          <cell r="A154">
            <v>0</v>
          </cell>
          <cell r="B154">
            <v>0</v>
          </cell>
        </row>
        <row r="155">
          <cell r="A155">
            <v>0</v>
          </cell>
          <cell r="B155">
            <v>0</v>
          </cell>
        </row>
        <row r="156">
          <cell r="A156">
            <v>0</v>
          </cell>
          <cell r="B156">
            <v>0</v>
          </cell>
        </row>
        <row r="157">
          <cell r="A157">
            <v>0</v>
          </cell>
          <cell r="B157">
            <v>0</v>
          </cell>
        </row>
        <row r="158">
          <cell r="A158">
            <v>0</v>
          </cell>
          <cell r="B158">
            <v>0</v>
          </cell>
        </row>
        <row r="159">
          <cell r="A159">
            <v>0</v>
          </cell>
          <cell r="B159">
            <v>0</v>
          </cell>
        </row>
        <row r="160">
          <cell r="A160">
            <v>0</v>
          </cell>
          <cell r="B160">
            <v>0</v>
          </cell>
        </row>
        <row r="161">
          <cell r="A161">
            <v>0</v>
          </cell>
          <cell r="B161">
            <v>0</v>
          </cell>
        </row>
        <row r="162">
          <cell r="A162">
            <v>0</v>
          </cell>
          <cell r="B162">
            <v>0</v>
          </cell>
        </row>
        <row r="163">
          <cell r="A163">
            <v>0</v>
          </cell>
          <cell r="B163">
            <v>0</v>
          </cell>
        </row>
        <row r="164">
          <cell r="A164">
            <v>0</v>
          </cell>
          <cell r="B164">
            <v>0</v>
          </cell>
        </row>
        <row r="165">
          <cell r="A165">
            <v>0</v>
          </cell>
          <cell r="B165">
            <v>0</v>
          </cell>
        </row>
        <row r="166">
          <cell r="A166">
            <v>0</v>
          </cell>
          <cell r="B166">
            <v>0</v>
          </cell>
        </row>
        <row r="167">
          <cell r="A167">
            <v>0</v>
          </cell>
          <cell r="B167">
            <v>0</v>
          </cell>
        </row>
        <row r="168">
          <cell r="A168">
            <v>0</v>
          </cell>
          <cell r="B168">
            <v>0</v>
          </cell>
        </row>
        <row r="169">
          <cell r="A169">
            <v>0</v>
          </cell>
          <cell r="B169">
            <v>0</v>
          </cell>
        </row>
        <row r="170">
          <cell r="A170">
            <v>0</v>
          </cell>
          <cell r="B170">
            <v>0</v>
          </cell>
        </row>
        <row r="171">
          <cell r="A171">
            <v>0</v>
          </cell>
          <cell r="B171">
            <v>0</v>
          </cell>
        </row>
        <row r="172">
          <cell r="A172">
            <v>0</v>
          </cell>
          <cell r="B172">
            <v>0</v>
          </cell>
        </row>
        <row r="173">
          <cell r="A173">
            <v>0</v>
          </cell>
          <cell r="B173">
            <v>0</v>
          </cell>
        </row>
        <row r="174">
          <cell r="A174">
            <v>0</v>
          </cell>
          <cell r="B174">
            <v>0</v>
          </cell>
        </row>
        <row r="175">
          <cell r="A175">
            <v>0</v>
          </cell>
          <cell r="B175">
            <v>0</v>
          </cell>
        </row>
        <row r="176">
          <cell r="A176">
            <v>0</v>
          </cell>
          <cell r="B176">
            <v>0</v>
          </cell>
        </row>
        <row r="177">
          <cell r="A177">
            <v>85</v>
          </cell>
          <cell r="B177">
            <v>0</v>
          </cell>
        </row>
        <row r="178">
          <cell r="A178">
            <v>86</v>
          </cell>
          <cell r="B178">
            <v>0</v>
          </cell>
        </row>
        <row r="179">
          <cell r="A179">
            <v>87</v>
          </cell>
          <cell r="B179">
            <v>0</v>
          </cell>
        </row>
        <row r="180">
          <cell r="A180">
            <v>90</v>
          </cell>
          <cell r="B180">
            <v>0</v>
          </cell>
        </row>
        <row r="181">
          <cell r="A181">
            <v>39</v>
          </cell>
          <cell r="B181">
            <v>0</v>
          </cell>
        </row>
        <row r="182">
          <cell r="A182">
            <v>91</v>
          </cell>
          <cell r="B182">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versoCon"/>
      <sheetName val="ReversoCon"/>
      <sheetName val="Instrucciones"/>
      <sheetName val="Registrar F.22 AT.2013"/>
      <sheetName val="Registrar F.22 AT.2012"/>
      <sheetName val="Registrar DDJJ 1872"/>
      <sheetName val="1846 Res.Balance"/>
      <sheetName val="1846 Base Imponible"/>
      <sheetName val="Datos 1847"/>
      <sheetName val="Hoja de Trabajo"/>
      <sheetName val="Anexo HT Corr.Mon."/>
      <sheetName val="Comprobacion Analitica"/>
      <sheetName val="Factor Corr.Mon."/>
      <sheetName val="Anexo 1 AT.2013"/>
      <sheetName val="Anexo 2 AT.2013"/>
      <sheetName val="F1846 (AT.2013)"/>
      <sheetName val="F1847 (AT.2013)"/>
      <sheetName val="F1872 (AT.2013)"/>
      <sheetName val="Anexo (AT.2011)"/>
      <sheetName val="Anexo 2 (AT.2011)"/>
      <sheetName val="Registrar "/>
      <sheetName val="AnversoAud"/>
      <sheetName val="ReversoAud"/>
      <sheetName val="Hoja1"/>
      <sheetName val="RUT"/>
      <sheetName val="Supuestos"/>
      <sheetName val="DDJJ FUT "/>
      <sheetName val="DDJJ Capital"/>
      <sheetName val="Registros"/>
      <sheetName val="Antecedentes"/>
      <sheetName val="Enero de 2017"/>
      <sheetName val="Registrar  AT.-1"/>
      <sheetName val="Febrero 2017"/>
      <sheetName val="Reproceso RLI"/>
      <sheetName val="Reproceso IGC"/>
      <sheetName val="Registrar  AT.Actual"/>
    </sheetNames>
    <sheetDataSet>
      <sheetData sheetId="0"/>
      <sheetData sheetId="1"/>
      <sheetData sheetId="2"/>
      <sheetData sheetId="3">
        <row r="2">
          <cell r="A2">
            <v>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row r="2">
          <cell r="A2">
            <v>1</v>
          </cell>
          <cell r="B2" t="str">
            <v xml:space="preserve"> </v>
          </cell>
        </row>
        <row r="3">
          <cell r="A3">
            <v>2</v>
          </cell>
          <cell r="B3" t="str">
            <v xml:space="preserve"> </v>
          </cell>
        </row>
        <row r="4">
          <cell r="A4">
            <v>5</v>
          </cell>
          <cell r="B4" t="str">
            <v xml:space="preserve"> </v>
          </cell>
        </row>
        <row r="5">
          <cell r="A5">
            <v>6</v>
          </cell>
          <cell r="B5" t="str">
            <v xml:space="preserve"> </v>
          </cell>
        </row>
        <row r="6">
          <cell r="A6">
            <v>9</v>
          </cell>
          <cell r="B6" t="str">
            <v xml:space="preserve"> </v>
          </cell>
        </row>
        <row r="7">
          <cell r="A7">
            <v>8</v>
          </cell>
          <cell r="B7" t="str">
            <v xml:space="preserve"> </v>
          </cell>
        </row>
        <row r="8">
          <cell r="A8">
            <v>7</v>
          </cell>
          <cell r="B8" t="str">
            <v xml:space="preserve"> </v>
          </cell>
        </row>
        <row r="9">
          <cell r="A9">
            <v>3</v>
          </cell>
          <cell r="B9" t="str">
            <v xml:space="preserve"> </v>
          </cell>
        </row>
        <row r="10">
          <cell r="A10">
            <v>0</v>
          </cell>
          <cell r="B10" t="str">
            <v xml:space="preserve"> </v>
          </cell>
        </row>
        <row r="11">
          <cell r="A11">
            <v>0</v>
          </cell>
          <cell r="B11" t="str">
            <v xml:space="preserve"> </v>
          </cell>
        </row>
        <row r="12">
          <cell r="A12">
            <v>0</v>
          </cell>
          <cell r="B12">
            <v>0</v>
          </cell>
        </row>
        <row r="13">
          <cell r="A13">
            <v>0</v>
          </cell>
          <cell r="B13">
            <v>0</v>
          </cell>
        </row>
        <row r="14">
          <cell r="A14">
            <v>0</v>
          </cell>
          <cell r="B14">
            <v>0</v>
          </cell>
        </row>
        <row r="15">
          <cell r="A15">
            <v>0</v>
          </cell>
          <cell r="B15">
            <v>0</v>
          </cell>
        </row>
        <row r="16">
          <cell r="A16">
            <v>0</v>
          </cell>
          <cell r="B16">
            <v>0</v>
          </cell>
        </row>
        <row r="17">
          <cell r="A17">
            <v>0</v>
          </cell>
          <cell r="B17">
            <v>0</v>
          </cell>
        </row>
        <row r="18">
          <cell r="A18">
            <v>0</v>
          </cell>
          <cell r="B18">
            <v>0</v>
          </cell>
        </row>
        <row r="19">
          <cell r="A19">
            <v>0</v>
          </cell>
          <cell r="B19">
            <v>0</v>
          </cell>
        </row>
        <row r="20">
          <cell r="A20">
            <v>0</v>
          </cell>
          <cell r="B20">
            <v>0</v>
          </cell>
        </row>
        <row r="21">
          <cell r="A21">
            <v>0</v>
          </cell>
          <cell r="B21">
            <v>0</v>
          </cell>
        </row>
        <row r="22">
          <cell r="A22">
            <v>0</v>
          </cell>
          <cell r="B22">
            <v>0</v>
          </cell>
        </row>
        <row r="23">
          <cell r="A23">
            <v>0</v>
          </cell>
          <cell r="B23">
            <v>0</v>
          </cell>
        </row>
        <row r="24">
          <cell r="A24">
            <v>0</v>
          </cell>
          <cell r="B24">
            <v>0</v>
          </cell>
        </row>
        <row r="25">
          <cell r="A25">
            <v>0</v>
          </cell>
          <cell r="B25">
            <v>0</v>
          </cell>
        </row>
        <row r="26">
          <cell r="A26">
            <v>0</v>
          </cell>
          <cell r="B26">
            <v>0</v>
          </cell>
        </row>
        <row r="27">
          <cell r="A27">
            <v>0</v>
          </cell>
          <cell r="B27">
            <v>0</v>
          </cell>
        </row>
        <row r="28">
          <cell r="A28">
            <v>0</v>
          </cell>
          <cell r="B28">
            <v>0</v>
          </cell>
        </row>
        <row r="29">
          <cell r="A29">
            <v>0</v>
          </cell>
          <cell r="B29">
            <v>0</v>
          </cell>
        </row>
        <row r="30">
          <cell r="A30">
            <v>0</v>
          </cell>
          <cell r="B30">
            <v>0</v>
          </cell>
        </row>
        <row r="31">
          <cell r="A31">
            <v>0</v>
          </cell>
          <cell r="B31">
            <v>0</v>
          </cell>
        </row>
        <row r="32">
          <cell r="A32">
            <v>0</v>
          </cell>
          <cell r="B32">
            <v>0</v>
          </cell>
        </row>
        <row r="33">
          <cell r="A33">
            <v>0</v>
          </cell>
          <cell r="B33">
            <v>0</v>
          </cell>
        </row>
        <row r="34">
          <cell r="A34">
            <v>0</v>
          </cell>
          <cell r="B34">
            <v>0</v>
          </cell>
        </row>
        <row r="35">
          <cell r="A35">
            <v>0</v>
          </cell>
          <cell r="B35">
            <v>0</v>
          </cell>
        </row>
        <row r="36">
          <cell r="A36">
            <v>0</v>
          </cell>
          <cell r="B36">
            <v>0</v>
          </cell>
        </row>
        <row r="37">
          <cell r="A37">
            <v>0</v>
          </cell>
          <cell r="B37">
            <v>0</v>
          </cell>
        </row>
        <row r="38">
          <cell r="A38">
            <v>0</v>
          </cell>
          <cell r="B38">
            <v>0</v>
          </cell>
        </row>
        <row r="39">
          <cell r="A39">
            <v>0</v>
          </cell>
          <cell r="B39">
            <v>0</v>
          </cell>
        </row>
        <row r="40">
          <cell r="A40">
            <v>0</v>
          </cell>
          <cell r="B40">
            <v>0</v>
          </cell>
        </row>
        <row r="41">
          <cell r="A41">
            <v>0</v>
          </cell>
          <cell r="B41">
            <v>0</v>
          </cell>
        </row>
        <row r="42">
          <cell r="A42">
            <v>0</v>
          </cell>
          <cell r="B42">
            <v>0</v>
          </cell>
        </row>
        <row r="43">
          <cell r="A43">
            <v>0</v>
          </cell>
          <cell r="B43">
            <v>0</v>
          </cell>
        </row>
        <row r="44">
          <cell r="A44">
            <v>0</v>
          </cell>
          <cell r="B44">
            <v>0</v>
          </cell>
        </row>
        <row r="45">
          <cell r="A45">
            <v>0</v>
          </cell>
          <cell r="B45">
            <v>0</v>
          </cell>
        </row>
        <row r="46">
          <cell r="A46">
            <v>0</v>
          </cell>
          <cell r="B46">
            <v>0</v>
          </cell>
        </row>
        <row r="47">
          <cell r="A47">
            <v>0</v>
          </cell>
          <cell r="B47">
            <v>0</v>
          </cell>
        </row>
        <row r="48">
          <cell r="A48">
            <v>0</v>
          </cell>
          <cell r="B48">
            <v>0</v>
          </cell>
        </row>
        <row r="49">
          <cell r="A49">
            <v>0</v>
          </cell>
          <cell r="B49">
            <v>0</v>
          </cell>
        </row>
        <row r="50">
          <cell r="A50">
            <v>0</v>
          </cell>
          <cell r="B50">
            <v>0</v>
          </cell>
        </row>
        <row r="51">
          <cell r="A51">
            <v>0</v>
          </cell>
          <cell r="B51">
            <v>0</v>
          </cell>
        </row>
        <row r="52">
          <cell r="A52">
            <v>0</v>
          </cell>
          <cell r="B52">
            <v>0</v>
          </cell>
        </row>
        <row r="53">
          <cell r="A53">
            <v>0</v>
          </cell>
          <cell r="B53">
            <v>0</v>
          </cell>
        </row>
        <row r="54">
          <cell r="A54">
            <v>0</v>
          </cell>
          <cell r="B54">
            <v>0</v>
          </cell>
        </row>
        <row r="55">
          <cell r="A55">
            <v>0</v>
          </cell>
          <cell r="B55">
            <v>0</v>
          </cell>
        </row>
        <row r="56">
          <cell r="A56">
            <v>0</v>
          </cell>
          <cell r="B56">
            <v>0</v>
          </cell>
        </row>
        <row r="57">
          <cell r="A57">
            <v>0</v>
          </cell>
          <cell r="B57">
            <v>0</v>
          </cell>
        </row>
        <row r="58">
          <cell r="A58">
            <v>0</v>
          </cell>
          <cell r="B58">
            <v>0</v>
          </cell>
        </row>
        <row r="59">
          <cell r="A59">
            <v>0</v>
          </cell>
          <cell r="B59">
            <v>0</v>
          </cell>
        </row>
        <row r="60">
          <cell r="A60">
            <v>0</v>
          </cell>
          <cell r="B60">
            <v>0</v>
          </cell>
        </row>
        <row r="61">
          <cell r="A61">
            <v>0</v>
          </cell>
          <cell r="B61">
            <v>0</v>
          </cell>
        </row>
        <row r="62">
          <cell r="A62">
            <v>0</v>
          </cell>
          <cell r="B62">
            <v>0</v>
          </cell>
        </row>
        <row r="63">
          <cell r="A63">
            <v>0</v>
          </cell>
          <cell r="B63">
            <v>0</v>
          </cell>
        </row>
        <row r="64">
          <cell r="A64">
            <v>0</v>
          </cell>
          <cell r="B64">
            <v>0</v>
          </cell>
        </row>
        <row r="65">
          <cell r="A65">
            <v>0</v>
          </cell>
          <cell r="B65">
            <v>0</v>
          </cell>
        </row>
        <row r="66">
          <cell r="A66">
            <v>0</v>
          </cell>
          <cell r="B66">
            <v>0</v>
          </cell>
        </row>
        <row r="67">
          <cell r="A67">
            <v>0</v>
          </cell>
          <cell r="B67">
            <v>0</v>
          </cell>
        </row>
        <row r="68">
          <cell r="A68">
            <v>0</v>
          </cell>
          <cell r="B68">
            <v>0</v>
          </cell>
        </row>
        <row r="69">
          <cell r="A69">
            <v>0</v>
          </cell>
          <cell r="B69">
            <v>0</v>
          </cell>
        </row>
        <row r="70">
          <cell r="A70">
            <v>0</v>
          </cell>
          <cell r="B70">
            <v>0</v>
          </cell>
        </row>
        <row r="71">
          <cell r="A71">
            <v>0</v>
          </cell>
          <cell r="B71">
            <v>0</v>
          </cell>
        </row>
        <row r="72">
          <cell r="A72">
            <v>0</v>
          </cell>
          <cell r="B72">
            <v>0</v>
          </cell>
        </row>
        <row r="73">
          <cell r="A73">
            <v>0</v>
          </cell>
          <cell r="B73">
            <v>0</v>
          </cell>
        </row>
        <row r="74">
          <cell r="A74">
            <v>0</v>
          </cell>
          <cell r="B74">
            <v>0</v>
          </cell>
        </row>
        <row r="75">
          <cell r="A75">
            <v>0</v>
          </cell>
          <cell r="B75">
            <v>0</v>
          </cell>
        </row>
        <row r="76">
          <cell r="A76">
            <v>0</v>
          </cell>
          <cell r="B76">
            <v>0</v>
          </cell>
        </row>
        <row r="77">
          <cell r="A77">
            <v>0</v>
          </cell>
          <cell r="B77">
            <v>0</v>
          </cell>
        </row>
        <row r="78">
          <cell r="A78">
            <v>0</v>
          </cell>
          <cell r="B78">
            <v>0</v>
          </cell>
        </row>
        <row r="79">
          <cell r="A79">
            <v>0</v>
          </cell>
          <cell r="B79">
            <v>0</v>
          </cell>
        </row>
        <row r="80">
          <cell r="A80">
            <v>0</v>
          </cell>
          <cell r="B80">
            <v>0</v>
          </cell>
        </row>
        <row r="81">
          <cell r="A81">
            <v>0</v>
          </cell>
          <cell r="B81">
            <v>0</v>
          </cell>
        </row>
        <row r="82">
          <cell r="A82">
            <v>0</v>
          </cell>
          <cell r="B82">
            <v>0</v>
          </cell>
        </row>
        <row r="83">
          <cell r="A83">
            <v>0</v>
          </cell>
          <cell r="B83">
            <v>0</v>
          </cell>
        </row>
        <row r="84">
          <cell r="A84">
            <v>0</v>
          </cell>
          <cell r="B84">
            <v>0</v>
          </cell>
        </row>
        <row r="85">
          <cell r="A85">
            <v>0</v>
          </cell>
          <cell r="B85">
            <v>0</v>
          </cell>
        </row>
        <row r="86">
          <cell r="A86">
            <v>0</v>
          </cell>
          <cell r="B86">
            <v>0</v>
          </cell>
        </row>
        <row r="87">
          <cell r="A87">
            <v>0</v>
          </cell>
          <cell r="B87">
            <v>0</v>
          </cell>
        </row>
        <row r="88">
          <cell r="A88">
            <v>0</v>
          </cell>
          <cell r="B88">
            <v>0</v>
          </cell>
        </row>
        <row r="89">
          <cell r="A89">
            <v>0</v>
          </cell>
          <cell r="B89">
            <v>0</v>
          </cell>
        </row>
        <row r="90">
          <cell r="A90">
            <v>0</v>
          </cell>
          <cell r="B90">
            <v>0</v>
          </cell>
        </row>
        <row r="91">
          <cell r="A91">
            <v>0</v>
          </cell>
          <cell r="B91">
            <v>0</v>
          </cell>
        </row>
        <row r="92">
          <cell r="A92">
            <v>0</v>
          </cell>
          <cell r="B92">
            <v>0</v>
          </cell>
        </row>
        <row r="93">
          <cell r="A93">
            <v>0</v>
          </cell>
          <cell r="B93">
            <v>0</v>
          </cell>
        </row>
        <row r="94">
          <cell r="A94">
            <v>0</v>
          </cell>
          <cell r="B94">
            <v>0</v>
          </cell>
        </row>
        <row r="95">
          <cell r="A95">
            <v>0</v>
          </cell>
          <cell r="B95">
            <v>0</v>
          </cell>
        </row>
        <row r="96">
          <cell r="A96">
            <v>0</v>
          </cell>
          <cell r="B96">
            <v>0</v>
          </cell>
        </row>
        <row r="97">
          <cell r="A97">
            <v>0</v>
          </cell>
          <cell r="B97">
            <v>0</v>
          </cell>
        </row>
        <row r="98">
          <cell r="A98">
            <v>0</v>
          </cell>
          <cell r="B98">
            <v>0</v>
          </cell>
        </row>
        <row r="99">
          <cell r="A99">
            <v>0</v>
          </cell>
          <cell r="B99">
            <v>0</v>
          </cell>
        </row>
        <row r="100">
          <cell r="A100">
            <v>0</v>
          </cell>
          <cell r="B100">
            <v>0</v>
          </cell>
        </row>
        <row r="101">
          <cell r="A101">
            <v>0</v>
          </cell>
          <cell r="B101">
            <v>0</v>
          </cell>
        </row>
        <row r="102">
          <cell r="A102">
            <v>0</v>
          </cell>
          <cell r="B102">
            <v>0</v>
          </cell>
        </row>
        <row r="103">
          <cell r="A103">
            <v>0</v>
          </cell>
          <cell r="B103">
            <v>0</v>
          </cell>
        </row>
        <row r="104">
          <cell r="A104">
            <v>0</v>
          </cell>
          <cell r="B104">
            <v>0</v>
          </cell>
        </row>
        <row r="105">
          <cell r="A105">
            <v>0</v>
          </cell>
          <cell r="B105">
            <v>0</v>
          </cell>
        </row>
        <row r="106">
          <cell r="A106">
            <v>0</v>
          </cell>
          <cell r="B106">
            <v>0</v>
          </cell>
        </row>
        <row r="107">
          <cell r="A107">
            <v>0</v>
          </cell>
          <cell r="B107">
            <v>0</v>
          </cell>
        </row>
        <row r="108">
          <cell r="A108">
            <v>0</v>
          </cell>
          <cell r="B108">
            <v>0</v>
          </cell>
        </row>
        <row r="109">
          <cell r="A109">
            <v>0</v>
          </cell>
          <cell r="B109">
            <v>0</v>
          </cell>
        </row>
        <row r="110">
          <cell r="A110">
            <v>0</v>
          </cell>
          <cell r="B110">
            <v>0</v>
          </cell>
        </row>
        <row r="111">
          <cell r="A111">
            <v>0</v>
          </cell>
          <cell r="B111">
            <v>0</v>
          </cell>
        </row>
        <row r="112">
          <cell r="A112">
            <v>0</v>
          </cell>
          <cell r="B112">
            <v>0</v>
          </cell>
        </row>
        <row r="113">
          <cell r="A113">
            <v>0</v>
          </cell>
          <cell r="B113">
            <v>0</v>
          </cell>
        </row>
        <row r="114">
          <cell r="A114">
            <v>0</v>
          </cell>
          <cell r="B114">
            <v>0</v>
          </cell>
        </row>
        <row r="115">
          <cell r="A115">
            <v>0</v>
          </cell>
          <cell r="B115">
            <v>0</v>
          </cell>
        </row>
        <row r="116">
          <cell r="A116">
            <v>0</v>
          </cell>
          <cell r="B116">
            <v>0</v>
          </cell>
        </row>
        <row r="117">
          <cell r="A117">
            <v>0</v>
          </cell>
          <cell r="B117">
            <v>0</v>
          </cell>
        </row>
        <row r="118">
          <cell r="A118">
            <v>0</v>
          </cell>
          <cell r="B118">
            <v>0</v>
          </cell>
        </row>
        <row r="119">
          <cell r="A119">
            <v>0</v>
          </cell>
          <cell r="B119">
            <v>0</v>
          </cell>
        </row>
        <row r="120">
          <cell r="A120">
            <v>0</v>
          </cell>
          <cell r="B120">
            <v>0</v>
          </cell>
        </row>
        <row r="121">
          <cell r="A121">
            <v>0</v>
          </cell>
          <cell r="B121">
            <v>0</v>
          </cell>
        </row>
        <row r="122">
          <cell r="A122">
            <v>0</v>
          </cell>
          <cell r="B122">
            <v>0</v>
          </cell>
        </row>
        <row r="123">
          <cell r="A123">
            <v>0</v>
          </cell>
          <cell r="B123">
            <v>0</v>
          </cell>
        </row>
        <row r="124">
          <cell r="A124">
            <v>0</v>
          </cell>
          <cell r="B124">
            <v>0</v>
          </cell>
        </row>
        <row r="125">
          <cell r="A125">
            <v>0</v>
          </cell>
          <cell r="B125">
            <v>0</v>
          </cell>
        </row>
        <row r="126">
          <cell r="A126">
            <v>0</v>
          </cell>
          <cell r="B126">
            <v>0</v>
          </cell>
        </row>
        <row r="127">
          <cell r="A127">
            <v>0</v>
          </cell>
          <cell r="B127">
            <v>0</v>
          </cell>
        </row>
        <row r="128">
          <cell r="A128">
            <v>0</v>
          </cell>
          <cell r="B128">
            <v>0</v>
          </cell>
        </row>
        <row r="129">
          <cell r="A129">
            <v>0</v>
          </cell>
          <cell r="B129">
            <v>0</v>
          </cell>
        </row>
        <row r="130">
          <cell r="A130">
            <v>0</v>
          </cell>
          <cell r="B130">
            <v>0</v>
          </cell>
        </row>
        <row r="131">
          <cell r="A131">
            <v>0</v>
          </cell>
          <cell r="B131">
            <v>0</v>
          </cell>
        </row>
        <row r="132">
          <cell r="A132">
            <v>0</v>
          </cell>
          <cell r="B132">
            <v>0</v>
          </cell>
        </row>
        <row r="133">
          <cell r="A133">
            <v>0</v>
          </cell>
          <cell r="B133">
            <v>0</v>
          </cell>
        </row>
        <row r="134">
          <cell r="A134">
            <v>0</v>
          </cell>
          <cell r="B134">
            <v>0</v>
          </cell>
        </row>
        <row r="135">
          <cell r="A135">
            <v>0</v>
          </cell>
          <cell r="B135">
            <v>0</v>
          </cell>
        </row>
        <row r="136">
          <cell r="A136">
            <v>0</v>
          </cell>
          <cell r="B136">
            <v>0</v>
          </cell>
        </row>
        <row r="137">
          <cell r="A137">
            <v>0</v>
          </cell>
          <cell r="B137">
            <v>0</v>
          </cell>
        </row>
        <row r="138">
          <cell r="A138">
            <v>0</v>
          </cell>
          <cell r="B138">
            <v>0</v>
          </cell>
        </row>
        <row r="139">
          <cell r="A139">
            <v>0</v>
          </cell>
          <cell r="B139">
            <v>0</v>
          </cell>
        </row>
        <row r="140">
          <cell r="A140">
            <v>0</v>
          </cell>
          <cell r="B140">
            <v>0</v>
          </cell>
        </row>
        <row r="141">
          <cell r="A141">
            <v>0</v>
          </cell>
          <cell r="B141">
            <v>0</v>
          </cell>
        </row>
        <row r="142">
          <cell r="A142">
            <v>0</v>
          </cell>
          <cell r="B142">
            <v>0</v>
          </cell>
        </row>
        <row r="143">
          <cell r="A143">
            <v>0</v>
          </cell>
          <cell r="B143">
            <v>0</v>
          </cell>
        </row>
        <row r="144">
          <cell r="A144">
            <v>0</v>
          </cell>
          <cell r="B144">
            <v>0</v>
          </cell>
        </row>
        <row r="145">
          <cell r="A145">
            <v>0</v>
          </cell>
          <cell r="B145">
            <v>0</v>
          </cell>
        </row>
        <row r="146">
          <cell r="A146">
            <v>0</v>
          </cell>
          <cell r="B146">
            <v>0</v>
          </cell>
        </row>
        <row r="147">
          <cell r="A147">
            <v>0</v>
          </cell>
          <cell r="B147">
            <v>0</v>
          </cell>
        </row>
        <row r="148">
          <cell r="A148">
            <v>0</v>
          </cell>
          <cell r="B148">
            <v>0</v>
          </cell>
        </row>
        <row r="149">
          <cell r="A149">
            <v>0</v>
          </cell>
          <cell r="B149">
            <v>0</v>
          </cell>
        </row>
        <row r="150">
          <cell r="A150">
            <v>0</v>
          </cell>
          <cell r="B150">
            <v>0</v>
          </cell>
        </row>
        <row r="151">
          <cell r="A151">
            <v>0</v>
          </cell>
          <cell r="B151">
            <v>0</v>
          </cell>
        </row>
        <row r="152">
          <cell r="A152">
            <v>0</v>
          </cell>
          <cell r="B152">
            <v>0</v>
          </cell>
        </row>
        <row r="153">
          <cell r="A153">
            <v>0</v>
          </cell>
          <cell r="B153">
            <v>0</v>
          </cell>
        </row>
        <row r="154">
          <cell r="A154">
            <v>0</v>
          </cell>
          <cell r="B154">
            <v>0</v>
          </cell>
        </row>
        <row r="155">
          <cell r="A155">
            <v>0</v>
          </cell>
          <cell r="B155">
            <v>0</v>
          </cell>
        </row>
        <row r="156">
          <cell r="A156">
            <v>0</v>
          </cell>
          <cell r="B156">
            <v>0</v>
          </cell>
        </row>
        <row r="157">
          <cell r="A157">
            <v>0</v>
          </cell>
          <cell r="B157">
            <v>0</v>
          </cell>
        </row>
        <row r="158">
          <cell r="A158">
            <v>0</v>
          </cell>
          <cell r="B158">
            <v>0</v>
          </cell>
        </row>
        <row r="159">
          <cell r="A159">
            <v>0</v>
          </cell>
          <cell r="B159">
            <v>0</v>
          </cell>
        </row>
        <row r="160">
          <cell r="A160">
            <v>0</v>
          </cell>
          <cell r="B160">
            <v>0</v>
          </cell>
        </row>
        <row r="161">
          <cell r="A161">
            <v>0</v>
          </cell>
          <cell r="B161">
            <v>0</v>
          </cell>
        </row>
        <row r="162">
          <cell r="A162">
            <v>0</v>
          </cell>
          <cell r="B162">
            <v>0</v>
          </cell>
        </row>
        <row r="163">
          <cell r="A163">
            <v>0</v>
          </cell>
          <cell r="B163">
            <v>0</v>
          </cell>
        </row>
        <row r="164">
          <cell r="A164">
            <v>0</v>
          </cell>
          <cell r="B164">
            <v>0</v>
          </cell>
        </row>
        <row r="165">
          <cell r="A165">
            <v>0</v>
          </cell>
          <cell r="B165">
            <v>0</v>
          </cell>
        </row>
        <row r="166">
          <cell r="A166">
            <v>0</v>
          </cell>
          <cell r="B166">
            <v>0</v>
          </cell>
        </row>
        <row r="167">
          <cell r="A167">
            <v>0</v>
          </cell>
          <cell r="B167">
            <v>0</v>
          </cell>
        </row>
        <row r="168">
          <cell r="A168">
            <v>0</v>
          </cell>
          <cell r="B168">
            <v>0</v>
          </cell>
        </row>
        <row r="169">
          <cell r="A169">
            <v>0</v>
          </cell>
          <cell r="B169">
            <v>0</v>
          </cell>
        </row>
        <row r="170">
          <cell r="A170">
            <v>0</v>
          </cell>
          <cell r="B170">
            <v>0</v>
          </cell>
        </row>
        <row r="171">
          <cell r="A171">
            <v>0</v>
          </cell>
          <cell r="B171">
            <v>0</v>
          </cell>
        </row>
        <row r="172">
          <cell r="A172">
            <v>0</v>
          </cell>
          <cell r="B172">
            <v>0</v>
          </cell>
        </row>
        <row r="173">
          <cell r="A173">
            <v>0</v>
          </cell>
          <cell r="B173">
            <v>0</v>
          </cell>
        </row>
        <row r="174">
          <cell r="A174">
            <v>0</v>
          </cell>
          <cell r="B174">
            <v>0</v>
          </cell>
        </row>
        <row r="175">
          <cell r="A175">
            <v>0</v>
          </cell>
          <cell r="B175">
            <v>0</v>
          </cell>
        </row>
        <row r="176">
          <cell r="A176">
            <v>0</v>
          </cell>
          <cell r="B176">
            <v>0</v>
          </cell>
        </row>
        <row r="177">
          <cell r="A177">
            <v>85</v>
          </cell>
          <cell r="B177">
            <v>0</v>
          </cell>
        </row>
        <row r="178">
          <cell r="A178">
            <v>86</v>
          </cell>
          <cell r="B178">
            <v>0</v>
          </cell>
        </row>
        <row r="179">
          <cell r="A179">
            <v>87</v>
          </cell>
          <cell r="B179">
            <v>0</v>
          </cell>
        </row>
        <row r="180">
          <cell r="A180">
            <v>90</v>
          </cell>
          <cell r="B180">
            <v>0</v>
          </cell>
        </row>
        <row r="181">
          <cell r="A181">
            <v>39</v>
          </cell>
          <cell r="B181">
            <v>0</v>
          </cell>
        </row>
        <row r="182">
          <cell r="A182">
            <v>91</v>
          </cell>
          <cell r="B182">
            <v>0</v>
          </cell>
        </row>
      </sheetData>
      <sheetData sheetId="21"/>
      <sheetData sheetId="22"/>
      <sheetData sheetId="23" refreshError="1"/>
      <sheetData sheetId="24"/>
      <sheetData sheetId="25"/>
      <sheetData sheetId="26"/>
      <sheetData sheetId="27"/>
      <sheetData sheetId="28"/>
      <sheetData sheetId="29"/>
      <sheetData sheetId="30"/>
      <sheetData sheetId="31">
        <row r="1">
          <cell r="A1" t="str">
            <v>CODIGO</v>
          </cell>
          <cell r="B1" t="str">
            <v>VALOR</v>
          </cell>
        </row>
        <row r="2">
          <cell r="A2">
            <v>1</v>
          </cell>
          <cell r="B2" t="str">
            <v>CAPDEVILA</v>
          </cell>
        </row>
        <row r="3">
          <cell r="A3">
            <v>2</v>
          </cell>
          <cell r="B3" t="str">
            <v>HONORATO</v>
          </cell>
        </row>
        <row r="4">
          <cell r="A4">
            <v>5</v>
          </cell>
          <cell r="B4" t="str">
            <v>JOSE LUIS</v>
          </cell>
        </row>
        <row r="5">
          <cell r="A5">
            <v>6</v>
          </cell>
          <cell r="B5" t="str">
            <v>VARGAS FONTECILLA 4193- 4199</v>
          </cell>
        </row>
        <row r="6">
          <cell r="A6">
            <v>9</v>
          </cell>
          <cell r="B6">
            <v>7731698</v>
          </cell>
        </row>
        <row r="7">
          <cell r="A7">
            <v>8</v>
          </cell>
          <cell r="B7" t="str">
            <v>QUINTA NORMAL</v>
          </cell>
        </row>
        <row r="8">
          <cell r="A8">
            <v>7</v>
          </cell>
          <cell r="B8">
            <v>240742774</v>
          </cell>
        </row>
        <row r="9">
          <cell r="A9">
            <v>3</v>
          </cell>
          <cell r="B9" t="str">
            <v>4.432.741-4</v>
          </cell>
        </row>
        <row r="10">
          <cell r="A10">
            <v>13</v>
          </cell>
          <cell r="B10" t="str">
            <v>VENTA AL POR MENOR DE COMBUSTIBLE PARA AUTOMOTORES</v>
          </cell>
        </row>
        <row r="11">
          <cell r="A11">
            <v>55</v>
          </cell>
          <cell r="B11" t="str">
            <v>JLCESTACION@JLC.CL</v>
          </cell>
        </row>
        <row r="12">
          <cell r="A12">
            <v>14</v>
          </cell>
          <cell r="B12">
            <v>505000</v>
          </cell>
        </row>
        <row r="13">
          <cell r="A13">
            <v>20</v>
          </cell>
          <cell r="B13">
            <v>133651231</v>
          </cell>
        </row>
        <row r="14">
          <cell r="A14">
            <v>36</v>
          </cell>
          <cell r="B14">
            <v>170000000</v>
          </cell>
        </row>
        <row r="15">
          <cell r="A15">
            <v>101</v>
          </cell>
          <cell r="B15">
            <v>865042582</v>
          </cell>
        </row>
        <row r="16">
          <cell r="A16">
            <v>104</v>
          </cell>
          <cell r="B16">
            <v>70000000</v>
          </cell>
        </row>
        <row r="17">
          <cell r="A17">
            <v>106</v>
          </cell>
          <cell r="B17">
            <v>19909096</v>
          </cell>
        </row>
        <row r="18">
          <cell r="A18">
            <v>123</v>
          </cell>
          <cell r="B18">
            <v>6092136925</v>
          </cell>
        </row>
        <row r="19">
          <cell r="A19">
            <v>152</v>
          </cell>
          <cell r="B19">
            <v>288270</v>
          </cell>
        </row>
        <row r="20">
          <cell r="A20">
            <v>157</v>
          </cell>
          <cell r="B20">
            <v>33959423</v>
          </cell>
        </row>
        <row r="21">
          <cell r="A21">
            <v>159</v>
          </cell>
          <cell r="B21">
            <v>14410393</v>
          </cell>
        </row>
        <row r="22">
          <cell r="A22">
            <v>162</v>
          </cell>
          <cell r="B22">
            <v>607262</v>
          </cell>
        </row>
        <row r="23">
          <cell r="A23">
            <v>170</v>
          </cell>
          <cell r="B23">
            <v>122412874</v>
          </cell>
        </row>
        <row r="24">
          <cell r="A24">
            <v>226</v>
          </cell>
          <cell r="B24">
            <v>70000000</v>
          </cell>
        </row>
        <row r="25">
          <cell r="A25">
            <v>304</v>
          </cell>
          <cell r="B25">
            <v>20932024</v>
          </cell>
        </row>
        <row r="26">
          <cell r="A26">
            <v>312</v>
          </cell>
          <cell r="B26">
            <v>782</v>
          </cell>
        </row>
        <row r="27">
          <cell r="A27">
            <v>600</v>
          </cell>
          <cell r="B27">
            <v>14337349</v>
          </cell>
        </row>
        <row r="28">
          <cell r="A28">
            <v>605</v>
          </cell>
          <cell r="B28">
            <v>8221</v>
          </cell>
        </row>
        <row r="29">
          <cell r="A29">
            <v>608</v>
          </cell>
          <cell r="B29">
            <v>720</v>
          </cell>
        </row>
        <row r="30">
          <cell r="A30">
            <v>614</v>
          </cell>
          <cell r="B30" t="str">
            <v>X</v>
          </cell>
        </row>
        <row r="31">
          <cell r="A31">
            <v>625</v>
          </cell>
          <cell r="B31">
            <v>802529575</v>
          </cell>
        </row>
        <row r="32">
          <cell r="A32">
            <v>627</v>
          </cell>
          <cell r="B32">
            <v>14337349</v>
          </cell>
        </row>
        <row r="33">
          <cell r="A33">
            <v>629</v>
          </cell>
          <cell r="B33">
            <v>272546304</v>
          </cell>
        </row>
        <row r="34">
          <cell r="A34">
            <v>631</v>
          </cell>
          <cell r="B34">
            <v>341666340</v>
          </cell>
        </row>
        <row r="35">
          <cell r="A35">
            <v>635</v>
          </cell>
          <cell r="B35">
            <v>784165723</v>
          </cell>
        </row>
        <row r="36">
          <cell r="A36">
            <v>637</v>
          </cell>
          <cell r="B36">
            <v>78300746</v>
          </cell>
        </row>
        <row r="37">
          <cell r="A37">
            <v>643</v>
          </cell>
          <cell r="B37">
            <v>668256153</v>
          </cell>
        </row>
        <row r="38">
          <cell r="A38">
            <v>647</v>
          </cell>
          <cell r="B38">
            <v>1243087760</v>
          </cell>
        </row>
        <row r="39">
          <cell r="A39">
            <v>774</v>
          </cell>
          <cell r="B39">
            <v>3712875536</v>
          </cell>
        </row>
        <row r="40">
          <cell r="A40">
            <v>785</v>
          </cell>
          <cell r="B40">
            <v>40230808</v>
          </cell>
        </row>
        <row r="41">
          <cell r="A41">
            <v>843</v>
          </cell>
          <cell r="B41">
            <v>3974488503</v>
          </cell>
        </row>
        <row r="42">
          <cell r="A42">
            <v>847</v>
          </cell>
          <cell r="B42">
            <v>14337349</v>
          </cell>
        </row>
        <row r="43">
          <cell r="A43">
            <v>874</v>
          </cell>
          <cell r="B43">
            <v>668256153</v>
          </cell>
        </row>
        <row r="44">
          <cell r="A44">
            <v>926</v>
          </cell>
          <cell r="B44">
            <v>40230808</v>
          </cell>
        </row>
        <row r="45">
          <cell r="A45">
            <v>934</v>
          </cell>
          <cell r="B45">
            <v>136917887</v>
          </cell>
        </row>
        <row r="46">
          <cell r="A46" t="str">
            <v>REMANENTE DE CREDITO</v>
          </cell>
          <cell r="B46">
            <v>0</v>
          </cell>
        </row>
        <row r="47">
          <cell r="A47">
            <v>52</v>
          </cell>
          <cell r="B47">
            <v>85</v>
          </cell>
        </row>
        <row r="48">
          <cell r="A48">
            <v>53</v>
          </cell>
          <cell r="B48">
            <v>86</v>
          </cell>
        </row>
        <row r="49">
          <cell r="A49">
            <v>0</v>
          </cell>
          <cell r="B49">
            <v>0</v>
          </cell>
        </row>
        <row r="50">
          <cell r="A50">
            <v>0</v>
          </cell>
          <cell r="B50">
            <v>0</v>
          </cell>
        </row>
        <row r="51">
          <cell r="A51">
            <v>0</v>
          </cell>
          <cell r="B51">
            <v>0</v>
          </cell>
        </row>
        <row r="52">
          <cell r="A52" t="str">
            <v>DEVOLUCION SOLICITADA</v>
          </cell>
          <cell r="B52">
            <v>0</v>
          </cell>
        </row>
        <row r="53">
          <cell r="A53">
            <v>0</v>
          </cell>
          <cell r="B53">
            <v>0</v>
          </cell>
        </row>
        <row r="54">
          <cell r="A54">
            <v>0</v>
          </cell>
          <cell r="B54">
            <v>0</v>
          </cell>
        </row>
        <row r="55">
          <cell r="A55">
            <v>0</v>
          </cell>
          <cell r="B55">
            <v>0</v>
          </cell>
        </row>
        <row r="56">
          <cell r="A56">
            <v>0</v>
          </cell>
          <cell r="B56">
            <v>87</v>
          </cell>
        </row>
        <row r="57">
          <cell r="A57">
            <v>0</v>
          </cell>
          <cell r="B57">
            <v>0</v>
          </cell>
        </row>
        <row r="58">
          <cell r="A58">
            <v>0</v>
          </cell>
          <cell r="B58">
            <v>0</v>
          </cell>
        </row>
        <row r="59">
          <cell r="A59">
            <v>0</v>
          </cell>
          <cell r="B59">
            <v>0</v>
          </cell>
        </row>
        <row r="60">
          <cell r="A60">
            <v>0</v>
          </cell>
          <cell r="B60">
            <v>0</v>
          </cell>
        </row>
        <row r="61">
          <cell r="A61" t="str">
            <v>Folio Formulario F01</v>
          </cell>
          <cell r="B61" t="str">
            <v>Fecha de movimiento F01</v>
          </cell>
        </row>
        <row r="62">
          <cell r="A62" t="str">
            <v>Folio rectificatoria</v>
          </cell>
          <cell r="B62" t="str">
            <v>Folio primitiva</v>
          </cell>
        </row>
        <row r="63">
          <cell r="A63">
            <v>0</v>
          </cell>
          <cell r="B63">
            <v>0</v>
          </cell>
        </row>
        <row r="64">
          <cell r="A64" t="str">
            <v xml:space="preserve">Esta copia de declaración no es válida como certificado. </v>
          </cell>
          <cell r="B64">
            <v>0</v>
          </cell>
        </row>
        <row r="65">
          <cell r="A65">
            <v>0</v>
          </cell>
          <cell r="B65">
            <v>0</v>
          </cell>
        </row>
        <row r="66">
          <cell r="A66">
            <v>0</v>
          </cell>
          <cell r="B66">
            <v>0</v>
          </cell>
        </row>
        <row r="67">
          <cell r="A67">
            <v>0</v>
          </cell>
          <cell r="B67">
            <v>0</v>
          </cell>
        </row>
        <row r="68">
          <cell r="A68">
            <v>0</v>
          </cell>
          <cell r="B68">
            <v>0</v>
          </cell>
        </row>
        <row r="69">
          <cell r="A69">
            <v>0</v>
          </cell>
          <cell r="B69">
            <v>0</v>
          </cell>
        </row>
        <row r="70">
          <cell r="A70">
            <v>0</v>
          </cell>
          <cell r="B70">
            <v>0</v>
          </cell>
        </row>
        <row r="71">
          <cell r="A71">
            <v>0</v>
          </cell>
          <cell r="B71">
            <v>0</v>
          </cell>
        </row>
        <row r="72">
          <cell r="A72">
            <v>0</v>
          </cell>
          <cell r="B72">
            <v>0</v>
          </cell>
        </row>
        <row r="73">
          <cell r="A73">
            <v>0</v>
          </cell>
          <cell r="B73">
            <v>0</v>
          </cell>
        </row>
        <row r="74">
          <cell r="A74">
            <v>0</v>
          </cell>
          <cell r="B74">
            <v>0</v>
          </cell>
        </row>
        <row r="75">
          <cell r="A75">
            <v>0</v>
          </cell>
          <cell r="B75">
            <v>0</v>
          </cell>
        </row>
        <row r="76">
          <cell r="A76">
            <v>0</v>
          </cell>
          <cell r="B76">
            <v>0</v>
          </cell>
        </row>
        <row r="77">
          <cell r="A77">
            <v>0</v>
          </cell>
          <cell r="B77">
            <v>0</v>
          </cell>
        </row>
        <row r="78">
          <cell r="A78">
            <v>0</v>
          </cell>
          <cell r="B78">
            <v>0</v>
          </cell>
        </row>
        <row r="79">
          <cell r="A79">
            <v>0</v>
          </cell>
          <cell r="B79">
            <v>0</v>
          </cell>
        </row>
        <row r="80">
          <cell r="A80">
            <v>0</v>
          </cell>
          <cell r="B80">
            <v>0</v>
          </cell>
        </row>
        <row r="81">
          <cell r="A81">
            <v>0</v>
          </cell>
          <cell r="B81">
            <v>0</v>
          </cell>
        </row>
        <row r="82">
          <cell r="A82">
            <v>0</v>
          </cell>
          <cell r="B82">
            <v>0</v>
          </cell>
        </row>
        <row r="83">
          <cell r="A83">
            <v>0</v>
          </cell>
          <cell r="B83">
            <v>0</v>
          </cell>
        </row>
        <row r="84">
          <cell r="A84">
            <v>0</v>
          </cell>
          <cell r="B84">
            <v>0</v>
          </cell>
        </row>
        <row r="85">
          <cell r="A85">
            <v>0</v>
          </cell>
          <cell r="B85">
            <v>0</v>
          </cell>
        </row>
        <row r="86">
          <cell r="A86">
            <v>0</v>
          </cell>
          <cell r="B86">
            <v>0</v>
          </cell>
        </row>
        <row r="87">
          <cell r="A87">
            <v>0</v>
          </cell>
          <cell r="B87">
            <v>0</v>
          </cell>
        </row>
        <row r="88">
          <cell r="A88">
            <v>0</v>
          </cell>
          <cell r="B88">
            <v>0</v>
          </cell>
        </row>
        <row r="89">
          <cell r="A89">
            <v>0</v>
          </cell>
          <cell r="B89">
            <v>0</v>
          </cell>
        </row>
        <row r="90">
          <cell r="A90">
            <v>0</v>
          </cell>
          <cell r="B90">
            <v>0</v>
          </cell>
        </row>
        <row r="91">
          <cell r="A91">
            <v>0</v>
          </cell>
          <cell r="B91">
            <v>0</v>
          </cell>
        </row>
        <row r="92">
          <cell r="A92">
            <v>0</v>
          </cell>
          <cell r="B92">
            <v>0</v>
          </cell>
        </row>
        <row r="93">
          <cell r="A93">
            <v>0</v>
          </cell>
          <cell r="B93">
            <v>0</v>
          </cell>
        </row>
        <row r="94">
          <cell r="A94">
            <v>0</v>
          </cell>
          <cell r="B94">
            <v>0</v>
          </cell>
        </row>
        <row r="95">
          <cell r="A95">
            <v>18</v>
          </cell>
          <cell r="B95">
            <v>668256153</v>
          </cell>
        </row>
        <row r="96">
          <cell r="A96">
            <v>31</v>
          </cell>
          <cell r="B96">
            <v>20932024</v>
          </cell>
        </row>
        <row r="97">
          <cell r="A97">
            <v>53</v>
          </cell>
          <cell r="B97">
            <v>13</v>
          </cell>
        </row>
        <row r="98">
          <cell r="A98">
            <v>102</v>
          </cell>
          <cell r="B98">
            <v>6140228120</v>
          </cell>
        </row>
        <row r="99">
          <cell r="A99">
            <v>105</v>
          </cell>
          <cell r="B99">
            <v>38808</v>
          </cell>
        </row>
        <row r="100">
          <cell r="A100">
            <v>122</v>
          </cell>
          <cell r="B100">
            <v>6652866815</v>
          </cell>
        </row>
        <row r="101">
          <cell r="A101">
            <v>129</v>
          </cell>
          <cell r="B101">
            <v>352510806</v>
          </cell>
        </row>
        <row r="102">
          <cell r="A102">
            <v>155</v>
          </cell>
          <cell r="B102">
            <v>137790</v>
          </cell>
        </row>
        <row r="103">
          <cell r="A103">
            <v>158</v>
          </cell>
          <cell r="B103">
            <v>122412874</v>
          </cell>
        </row>
        <row r="104">
          <cell r="A104">
            <v>161</v>
          </cell>
          <cell r="B104">
            <v>18166429</v>
          </cell>
        </row>
        <row r="105">
          <cell r="A105">
            <v>169</v>
          </cell>
          <cell r="B105">
            <v>537912</v>
          </cell>
        </row>
        <row r="106">
          <cell r="A106">
            <v>225</v>
          </cell>
          <cell r="B106">
            <v>668256153</v>
          </cell>
        </row>
        <row r="107">
          <cell r="A107">
            <v>231</v>
          </cell>
          <cell r="B107">
            <v>4177480459</v>
          </cell>
        </row>
        <row r="108">
          <cell r="A108">
            <v>305</v>
          </cell>
          <cell r="B108">
            <v>-15416745</v>
          </cell>
        </row>
        <row r="109">
          <cell r="A109">
            <v>315</v>
          </cell>
          <cell r="B109">
            <v>8052014</v>
          </cell>
        </row>
        <row r="110">
          <cell r="A110">
            <v>601</v>
          </cell>
          <cell r="B110">
            <v>7848</v>
          </cell>
        </row>
        <row r="111">
          <cell r="A111">
            <v>606</v>
          </cell>
          <cell r="B111">
            <v>57629</v>
          </cell>
        </row>
        <row r="112">
          <cell r="A112">
            <v>610</v>
          </cell>
          <cell r="B112">
            <v>14410327</v>
          </cell>
        </row>
        <row r="113">
          <cell r="A113">
            <v>624</v>
          </cell>
          <cell r="B113">
            <v>107526263</v>
          </cell>
        </row>
        <row r="114">
          <cell r="A114">
            <v>626</v>
          </cell>
          <cell r="B114">
            <v>133651231</v>
          </cell>
        </row>
        <row r="115">
          <cell r="A115">
            <v>628</v>
          </cell>
          <cell r="B115">
            <v>76567411742</v>
          </cell>
        </row>
        <row r="116">
          <cell r="A116">
            <v>630</v>
          </cell>
          <cell r="B116">
            <v>75034864539</v>
          </cell>
        </row>
        <row r="117">
          <cell r="A117">
            <v>632</v>
          </cell>
          <cell r="B117">
            <v>40230808</v>
          </cell>
        </row>
        <row r="118">
          <cell r="A118">
            <v>636</v>
          </cell>
          <cell r="B118">
            <v>639030636</v>
          </cell>
        </row>
        <row r="119">
          <cell r="A119">
            <v>639</v>
          </cell>
          <cell r="B119">
            <v>107526263</v>
          </cell>
        </row>
        <row r="120">
          <cell r="A120">
            <v>645</v>
          </cell>
          <cell r="B120">
            <v>3974488503</v>
          </cell>
        </row>
        <row r="121">
          <cell r="A121">
            <v>749</v>
          </cell>
          <cell r="B121">
            <v>14410393</v>
          </cell>
        </row>
        <row r="122">
          <cell r="A122">
            <v>775</v>
          </cell>
          <cell r="B122">
            <v>110792920</v>
          </cell>
        </row>
        <row r="123">
          <cell r="A123">
            <v>838</v>
          </cell>
          <cell r="B123">
            <v>921843457</v>
          </cell>
        </row>
        <row r="124">
          <cell r="A124">
            <v>844</v>
          </cell>
          <cell r="B124">
            <v>149894480</v>
          </cell>
        </row>
        <row r="125">
          <cell r="A125">
            <v>849</v>
          </cell>
          <cell r="B125">
            <v>170000000</v>
          </cell>
        </row>
        <row r="126">
          <cell r="A126">
            <v>910</v>
          </cell>
          <cell r="B126">
            <v>1990910</v>
          </cell>
        </row>
        <row r="127">
          <cell r="A127">
            <v>927</v>
          </cell>
          <cell r="B127">
            <v>40230808</v>
          </cell>
        </row>
        <row r="128">
          <cell r="A128">
            <v>940</v>
          </cell>
          <cell r="B128">
            <v>122</v>
          </cell>
        </row>
        <row r="129">
          <cell r="A129">
            <v>0</v>
          </cell>
          <cell r="B129" t="str">
            <v>IMPTO. A PAGAR</v>
          </cell>
        </row>
        <row r="130">
          <cell r="A130">
            <v>15416745</v>
          </cell>
          <cell r="B130">
            <v>55</v>
          </cell>
        </row>
        <row r="131">
          <cell r="A131">
            <v>0</v>
          </cell>
          <cell r="B131">
            <v>56</v>
          </cell>
        </row>
        <row r="132">
          <cell r="A132">
            <v>0</v>
          </cell>
          <cell r="B132">
            <v>57</v>
          </cell>
        </row>
        <row r="133">
          <cell r="A133">
            <v>0</v>
          </cell>
          <cell r="B133">
            <v>0</v>
          </cell>
        </row>
        <row r="134">
          <cell r="A134">
            <v>0</v>
          </cell>
          <cell r="B134">
            <v>0</v>
          </cell>
        </row>
        <row r="135">
          <cell r="A135">
            <v>0</v>
          </cell>
          <cell r="B135">
            <v>0</v>
          </cell>
        </row>
        <row r="136">
          <cell r="A136">
            <v>0</v>
          </cell>
          <cell r="B136">
            <v>0</v>
          </cell>
        </row>
        <row r="137">
          <cell r="A137">
            <v>0</v>
          </cell>
          <cell r="B137">
            <v>0</v>
          </cell>
        </row>
        <row r="138">
          <cell r="A138">
            <v>0</v>
          </cell>
          <cell r="B138">
            <v>0</v>
          </cell>
        </row>
        <row r="139">
          <cell r="A139">
            <v>15416745</v>
          </cell>
          <cell r="B139" t="str">
            <v>RECARGOS POR MORA EN EL PAGO</v>
          </cell>
        </row>
        <row r="140">
          <cell r="A140">
            <v>0</v>
          </cell>
          <cell r="B140">
            <v>58</v>
          </cell>
        </row>
        <row r="141">
          <cell r="A141">
            <v>0</v>
          </cell>
          <cell r="B141">
            <v>59</v>
          </cell>
        </row>
        <row r="142">
          <cell r="A142">
            <v>0</v>
          </cell>
          <cell r="B142">
            <v>60</v>
          </cell>
        </row>
        <row r="143">
          <cell r="A143">
            <v>0</v>
          </cell>
          <cell r="B143">
            <v>0</v>
          </cell>
        </row>
        <row r="144">
          <cell r="A144">
            <v>0</v>
          </cell>
          <cell r="B144">
            <v>0</v>
          </cell>
        </row>
        <row r="145">
          <cell r="A145">
            <v>0</v>
          </cell>
          <cell r="B145">
            <v>0</v>
          </cell>
        </row>
        <row r="146">
          <cell r="A146">
            <v>0</v>
          </cell>
          <cell r="B146">
            <v>0</v>
          </cell>
        </row>
        <row r="147">
          <cell r="A147">
            <v>0</v>
          </cell>
          <cell r="B147">
            <v>0</v>
          </cell>
        </row>
        <row r="148">
          <cell r="A148">
            <v>0</v>
          </cell>
          <cell r="B148">
            <v>0</v>
          </cell>
        </row>
        <row r="149">
          <cell r="A149">
            <v>0</v>
          </cell>
          <cell r="B149">
            <v>0</v>
          </cell>
        </row>
        <row r="150">
          <cell r="A150">
            <v>0</v>
          </cell>
          <cell r="B150">
            <v>0</v>
          </cell>
        </row>
        <row r="151">
          <cell r="A151">
            <v>0</v>
          </cell>
          <cell r="B151">
            <v>0</v>
          </cell>
        </row>
        <row r="152">
          <cell r="A152">
            <v>0</v>
          </cell>
          <cell r="B152">
            <v>0</v>
          </cell>
        </row>
        <row r="153">
          <cell r="A153">
            <v>0</v>
          </cell>
          <cell r="B153">
            <v>0</v>
          </cell>
        </row>
        <row r="154">
          <cell r="A154">
            <v>0</v>
          </cell>
          <cell r="B154">
            <v>0</v>
          </cell>
        </row>
        <row r="155">
          <cell r="A155">
            <v>0</v>
          </cell>
          <cell r="B155">
            <v>0</v>
          </cell>
        </row>
        <row r="156">
          <cell r="A156">
            <v>0</v>
          </cell>
          <cell r="B156">
            <v>0</v>
          </cell>
        </row>
        <row r="157">
          <cell r="A157">
            <v>0</v>
          </cell>
          <cell r="B157">
            <v>0</v>
          </cell>
        </row>
        <row r="158">
          <cell r="A158">
            <v>0</v>
          </cell>
          <cell r="B158">
            <v>0</v>
          </cell>
        </row>
        <row r="159">
          <cell r="A159">
            <v>0</v>
          </cell>
          <cell r="B159">
            <v>0</v>
          </cell>
        </row>
        <row r="160">
          <cell r="A160">
            <v>0</v>
          </cell>
          <cell r="B160">
            <v>0</v>
          </cell>
        </row>
        <row r="161">
          <cell r="A161">
            <v>0</v>
          </cell>
          <cell r="B161">
            <v>0</v>
          </cell>
        </row>
        <row r="162">
          <cell r="A162">
            <v>0</v>
          </cell>
          <cell r="B162">
            <v>0</v>
          </cell>
        </row>
        <row r="163">
          <cell r="A163">
            <v>0</v>
          </cell>
          <cell r="B163">
            <v>0</v>
          </cell>
        </row>
        <row r="164">
          <cell r="A164">
            <v>0</v>
          </cell>
          <cell r="B164">
            <v>0</v>
          </cell>
        </row>
        <row r="165">
          <cell r="A165">
            <v>0</v>
          </cell>
          <cell r="B165">
            <v>0</v>
          </cell>
        </row>
        <row r="166">
          <cell r="A166">
            <v>0</v>
          </cell>
          <cell r="B166">
            <v>0</v>
          </cell>
        </row>
        <row r="167">
          <cell r="A167">
            <v>0</v>
          </cell>
          <cell r="B167">
            <v>0</v>
          </cell>
        </row>
        <row r="168">
          <cell r="A168">
            <v>0</v>
          </cell>
          <cell r="B168">
            <v>0</v>
          </cell>
        </row>
        <row r="169">
          <cell r="A169">
            <v>0</v>
          </cell>
          <cell r="B169">
            <v>0</v>
          </cell>
        </row>
        <row r="170">
          <cell r="A170">
            <v>0</v>
          </cell>
          <cell r="B170">
            <v>0</v>
          </cell>
        </row>
        <row r="171">
          <cell r="A171">
            <v>0</v>
          </cell>
          <cell r="B171">
            <v>0</v>
          </cell>
        </row>
        <row r="172">
          <cell r="A172">
            <v>0</v>
          </cell>
          <cell r="B172">
            <v>0</v>
          </cell>
        </row>
        <row r="173">
          <cell r="A173">
            <v>0</v>
          </cell>
          <cell r="B173">
            <v>0</v>
          </cell>
        </row>
        <row r="174">
          <cell r="A174">
            <v>0</v>
          </cell>
          <cell r="B174">
            <v>0</v>
          </cell>
        </row>
        <row r="175">
          <cell r="A175">
            <v>0</v>
          </cell>
          <cell r="B175">
            <v>0</v>
          </cell>
        </row>
        <row r="176">
          <cell r="A176">
            <v>0</v>
          </cell>
          <cell r="B176">
            <v>0</v>
          </cell>
        </row>
        <row r="177">
          <cell r="A177">
            <v>85</v>
          </cell>
          <cell r="B177">
            <v>15416745</v>
          </cell>
        </row>
        <row r="178">
          <cell r="A178">
            <v>86</v>
          </cell>
          <cell r="B178">
            <v>0</v>
          </cell>
        </row>
        <row r="179">
          <cell r="A179">
            <v>87</v>
          </cell>
          <cell r="B179">
            <v>15416745</v>
          </cell>
        </row>
        <row r="180">
          <cell r="A180">
            <v>90</v>
          </cell>
          <cell r="B180">
            <v>0</v>
          </cell>
        </row>
        <row r="181">
          <cell r="A181">
            <v>39</v>
          </cell>
          <cell r="B181">
            <v>0</v>
          </cell>
        </row>
        <row r="182">
          <cell r="A182">
            <v>91</v>
          </cell>
          <cell r="B182">
            <v>0</v>
          </cell>
        </row>
      </sheetData>
      <sheetData sheetId="32"/>
      <sheetData sheetId="33"/>
      <sheetData sheetId="34"/>
      <sheetData sheetId="35">
        <row r="2">
          <cell r="A2">
            <v>1</v>
          </cell>
          <cell r="B2" t="str">
            <v>CAPDEVILA</v>
          </cell>
        </row>
        <row r="3">
          <cell r="A3">
            <v>2</v>
          </cell>
          <cell r="B3" t="str">
            <v>HONORATO</v>
          </cell>
        </row>
        <row r="4">
          <cell r="A4">
            <v>5</v>
          </cell>
          <cell r="B4" t="str">
            <v>JOSE LUIS</v>
          </cell>
        </row>
        <row r="5">
          <cell r="A5">
            <v>6</v>
          </cell>
          <cell r="B5" t="str">
            <v>VARGAS FONTECILLA 4193- 4199</v>
          </cell>
        </row>
        <row r="6">
          <cell r="A6">
            <v>9</v>
          </cell>
          <cell r="B6">
            <v>7731698</v>
          </cell>
        </row>
        <row r="7">
          <cell r="A7">
            <v>8</v>
          </cell>
          <cell r="B7" t="str">
            <v>QUINTA NORMAL</v>
          </cell>
        </row>
        <row r="8">
          <cell r="A8">
            <v>7</v>
          </cell>
          <cell r="B8">
            <v>234710275</v>
          </cell>
        </row>
        <row r="9">
          <cell r="A9">
            <v>3</v>
          </cell>
          <cell r="B9" t="str">
            <v>4.432.741-4</v>
          </cell>
        </row>
        <row r="10">
          <cell r="A10">
            <v>13</v>
          </cell>
          <cell r="B10" t="str">
            <v>VENTA AL POR MENOR DE COMBUSTIBLE PARA AUTOMOTORES</v>
          </cell>
        </row>
        <row r="11">
          <cell r="A11">
            <v>55</v>
          </cell>
          <cell r="B11" t="str">
            <v>JLCESTACION@JLC.CL</v>
          </cell>
        </row>
        <row r="12">
          <cell r="A12">
            <v>14</v>
          </cell>
          <cell r="B12">
            <v>505000</v>
          </cell>
        </row>
        <row r="13">
          <cell r="A13">
            <v>20</v>
          </cell>
          <cell r="B13">
            <v>169061221</v>
          </cell>
        </row>
        <row r="14">
          <cell r="A14">
            <v>36</v>
          </cell>
          <cell r="B14">
            <v>211624269</v>
          </cell>
        </row>
        <row r="15">
          <cell r="A15">
            <v>101</v>
          </cell>
          <cell r="B15">
            <v>6804780060</v>
          </cell>
        </row>
        <row r="16">
          <cell r="A16">
            <v>104</v>
          </cell>
          <cell r="B16">
            <v>70000000</v>
          </cell>
        </row>
        <row r="17">
          <cell r="A17">
            <v>122</v>
          </cell>
          <cell r="B17">
            <v>10096428698</v>
          </cell>
        </row>
        <row r="18">
          <cell r="A18">
            <v>129</v>
          </cell>
          <cell r="B18">
            <v>643484959</v>
          </cell>
        </row>
        <row r="19">
          <cell r="A19">
            <v>157</v>
          </cell>
          <cell r="B19">
            <v>32726375</v>
          </cell>
        </row>
        <row r="20">
          <cell r="A20">
            <v>159</v>
          </cell>
          <cell r="B20">
            <v>14419550</v>
          </cell>
        </row>
        <row r="21">
          <cell r="A21">
            <v>162</v>
          </cell>
          <cell r="B21">
            <v>667348</v>
          </cell>
        </row>
        <row r="22">
          <cell r="A22">
            <v>225</v>
          </cell>
          <cell r="B22">
            <v>805053431</v>
          </cell>
        </row>
        <row r="23">
          <cell r="A23">
            <v>231</v>
          </cell>
          <cell r="B23">
            <v>4459982927</v>
          </cell>
        </row>
        <row r="24">
          <cell r="A24">
            <v>305</v>
          </cell>
          <cell r="B24">
            <v>-23207586</v>
          </cell>
        </row>
        <row r="25">
          <cell r="A25">
            <v>315</v>
          </cell>
          <cell r="B25">
            <v>30042015</v>
          </cell>
        </row>
        <row r="26">
          <cell r="A26">
            <v>600</v>
          </cell>
          <cell r="B26">
            <v>14337330</v>
          </cell>
        </row>
        <row r="27">
          <cell r="A27">
            <v>610</v>
          </cell>
          <cell r="B27">
            <v>14419550</v>
          </cell>
        </row>
        <row r="28">
          <cell r="A28">
            <v>624</v>
          </cell>
          <cell r="B28">
            <v>138329024</v>
          </cell>
        </row>
        <row r="29">
          <cell r="A29">
            <v>626</v>
          </cell>
          <cell r="B29">
            <v>169061221</v>
          </cell>
        </row>
        <row r="30">
          <cell r="A30">
            <v>628</v>
          </cell>
          <cell r="B30">
            <v>92307030818</v>
          </cell>
        </row>
        <row r="31">
          <cell r="A31">
            <v>631</v>
          </cell>
          <cell r="B31">
            <v>667855260</v>
          </cell>
        </row>
        <row r="32">
          <cell r="A32">
            <v>635</v>
          </cell>
          <cell r="B32">
            <v>1222067834</v>
          </cell>
        </row>
        <row r="33">
          <cell r="A33">
            <v>637</v>
          </cell>
          <cell r="B33">
            <v>153478697</v>
          </cell>
        </row>
        <row r="34">
          <cell r="A34">
            <v>643</v>
          </cell>
          <cell r="B34">
            <v>805053431</v>
          </cell>
        </row>
        <row r="35">
          <cell r="A35">
            <v>647</v>
          </cell>
          <cell r="B35">
            <v>1279022451</v>
          </cell>
        </row>
        <row r="36">
          <cell r="A36">
            <v>749</v>
          </cell>
          <cell r="B36">
            <v>14419550</v>
          </cell>
        </row>
        <row r="37">
          <cell r="A37">
            <v>775</v>
          </cell>
          <cell r="B37">
            <v>148170665</v>
          </cell>
        </row>
        <row r="38">
          <cell r="A38">
            <v>838</v>
          </cell>
          <cell r="B38">
            <v>1017572795</v>
          </cell>
        </row>
        <row r="39">
          <cell r="A39">
            <v>844</v>
          </cell>
          <cell r="B39">
            <v>149894480</v>
          </cell>
        </row>
        <row r="40">
          <cell r="A40">
            <v>849</v>
          </cell>
          <cell r="B40">
            <v>211624269</v>
          </cell>
        </row>
        <row r="41">
          <cell r="A41">
            <v>910</v>
          </cell>
          <cell r="B41">
            <v>1715985</v>
          </cell>
        </row>
        <row r="42">
          <cell r="A42">
            <v>927</v>
          </cell>
          <cell r="B42">
            <v>37707777</v>
          </cell>
        </row>
        <row r="43">
          <cell r="A43" t="str">
            <v>REMANENTE DE CREDITO</v>
          </cell>
          <cell r="B43">
            <v>0</v>
          </cell>
        </row>
        <row r="44">
          <cell r="A44">
            <v>52</v>
          </cell>
          <cell r="B44">
            <v>85</v>
          </cell>
        </row>
        <row r="45">
          <cell r="A45">
            <v>53</v>
          </cell>
          <cell r="B45">
            <v>86</v>
          </cell>
        </row>
        <row r="46">
          <cell r="A46">
            <v>0</v>
          </cell>
          <cell r="B46">
            <v>0</v>
          </cell>
        </row>
        <row r="47">
          <cell r="A47">
            <v>0</v>
          </cell>
          <cell r="B47">
            <v>0</v>
          </cell>
        </row>
        <row r="48">
          <cell r="A48">
            <v>0</v>
          </cell>
          <cell r="B48">
            <v>0</v>
          </cell>
        </row>
        <row r="49">
          <cell r="A49" t="str">
            <v>DEVOLUCION SOLICITADA</v>
          </cell>
          <cell r="B49">
            <v>0</v>
          </cell>
        </row>
        <row r="50">
          <cell r="A50">
            <v>0</v>
          </cell>
          <cell r="B50">
            <v>0</v>
          </cell>
        </row>
        <row r="51">
          <cell r="A51">
            <v>0</v>
          </cell>
          <cell r="B51">
            <v>0</v>
          </cell>
        </row>
        <row r="52">
          <cell r="A52">
            <v>0</v>
          </cell>
          <cell r="B52">
            <v>0</v>
          </cell>
        </row>
        <row r="53">
          <cell r="A53">
            <v>0</v>
          </cell>
          <cell r="B53">
            <v>87</v>
          </cell>
        </row>
        <row r="54">
          <cell r="A54">
            <v>0</v>
          </cell>
          <cell r="B54">
            <v>0</v>
          </cell>
        </row>
        <row r="55">
          <cell r="A55">
            <v>0</v>
          </cell>
          <cell r="B55">
            <v>0</v>
          </cell>
        </row>
        <row r="56">
          <cell r="A56">
            <v>0</v>
          </cell>
          <cell r="B56">
            <v>0</v>
          </cell>
        </row>
        <row r="57">
          <cell r="A57">
            <v>0</v>
          </cell>
          <cell r="B57">
            <v>0</v>
          </cell>
        </row>
        <row r="58">
          <cell r="A58" t="str">
            <v>Folio Formulario F01</v>
          </cell>
          <cell r="B58" t="str">
            <v>Fecha de movimiento F01</v>
          </cell>
        </row>
        <row r="59">
          <cell r="A59" t="str">
            <v>Folio rectificatoria</v>
          </cell>
          <cell r="B59" t="str">
            <v>Folio primitiva</v>
          </cell>
        </row>
        <row r="60">
          <cell r="A60">
            <v>0</v>
          </cell>
          <cell r="B60">
            <v>0</v>
          </cell>
        </row>
        <row r="61">
          <cell r="A61" t="str">
            <v xml:space="preserve">Esta copia de declaración no es válida como certificado. </v>
          </cell>
          <cell r="B61">
            <v>0</v>
          </cell>
        </row>
        <row r="62">
          <cell r="A62">
            <v>0</v>
          </cell>
          <cell r="B62">
            <v>0</v>
          </cell>
        </row>
        <row r="63">
          <cell r="A63">
            <v>0</v>
          </cell>
          <cell r="B63">
            <v>0</v>
          </cell>
        </row>
        <row r="64">
          <cell r="A64">
            <v>0</v>
          </cell>
          <cell r="B64">
            <v>0</v>
          </cell>
        </row>
        <row r="65">
          <cell r="A65">
            <v>0</v>
          </cell>
          <cell r="B65">
            <v>0</v>
          </cell>
        </row>
        <row r="66">
          <cell r="A66">
            <v>0</v>
          </cell>
          <cell r="B66">
            <v>0</v>
          </cell>
        </row>
        <row r="67">
          <cell r="A67">
            <v>0</v>
          </cell>
          <cell r="B67">
            <v>0</v>
          </cell>
        </row>
        <row r="68">
          <cell r="A68">
            <v>0</v>
          </cell>
          <cell r="B68">
            <v>0</v>
          </cell>
        </row>
        <row r="69">
          <cell r="A69">
            <v>0</v>
          </cell>
          <cell r="B69">
            <v>0</v>
          </cell>
        </row>
        <row r="70">
          <cell r="A70">
            <v>0</v>
          </cell>
          <cell r="B70">
            <v>0</v>
          </cell>
        </row>
        <row r="71">
          <cell r="A71">
            <v>0</v>
          </cell>
          <cell r="B71">
            <v>0</v>
          </cell>
        </row>
        <row r="72">
          <cell r="A72">
            <v>0</v>
          </cell>
          <cell r="B72">
            <v>0</v>
          </cell>
        </row>
        <row r="73">
          <cell r="A73">
            <v>0</v>
          </cell>
          <cell r="B73">
            <v>0</v>
          </cell>
        </row>
        <row r="74">
          <cell r="A74">
            <v>0</v>
          </cell>
          <cell r="B74">
            <v>0</v>
          </cell>
        </row>
        <row r="75">
          <cell r="A75">
            <v>0</v>
          </cell>
          <cell r="B75">
            <v>0</v>
          </cell>
        </row>
        <row r="76">
          <cell r="A76">
            <v>0</v>
          </cell>
          <cell r="B76">
            <v>0</v>
          </cell>
        </row>
        <row r="77">
          <cell r="A77">
            <v>0</v>
          </cell>
          <cell r="B77">
            <v>0</v>
          </cell>
        </row>
        <row r="78">
          <cell r="A78">
            <v>0</v>
          </cell>
          <cell r="B78">
            <v>0</v>
          </cell>
        </row>
        <row r="79">
          <cell r="A79">
            <v>0</v>
          </cell>
          <cell r="B79">
            <v>0</v>
          </cell>
        </row>
        <row r="80">
          <cell r="A80">
            <v>0</v>
          </cell>
          <cell r="B80">
            <v>0</v>
          </cell>
        </row>
        <row r="81">
          <cell r="A81">
            <v>0</v>
          </cell>
          <cell r="B81">
            <v>0</v>
          </cell>
        </row>
        <row r="82">
          <cell r="A82">
            <v>0</v>
          </cell>
          <cell r="B82">
            <v>0</v>
          </cell>
        </row>
        <row r="83">
          <cell r="A83">
            <v>0</v>
          </cell>
          <cell r="B83">
            <v>0</v>
          </cell>
        </row>
        <row r="84">
          <cell r="A84">
            <v>0</v>
          </cell>
          <cell r="B84">
            <v>0</v>
          </cell>
        </row>
        <row r="85">
          <cell r="A85">
            <v>0</v>
          </cell>
          <cell r="B85">
            <v>0</v>
          </cell>
        </row>
        <row r="86">
          <cell r="A86">
            <v>0</v>
          </cell>
          <cell r="B86">
            <v>0</v>
          </cell>
        </row>
        <row r="87">
          <cell r="A87">
            <v>0</v>
          </cell>
          <cell r="B87">
            <v>0</v>
          </cell>
        </row>
        <row r="88">
          <cell r="A88">
            <v>0</v>
          </cell>
          <cell r="B88">
            <v>0</v>
          </cell>
        </row>
        <row r="89">
          <cell r="A89">
            <v>0</v>
          </cell>
          <cell r="B89">
            <v>0</v>
          </cell>
        </row>
        <row r="90">
          <cell r="A90">
            <v>0</v>
          </cell>
          <cell r="B90">
            <v>0</v>
          </cell>
        </row>
        <row r="91">
          <cell r="A91">
            <v>0</v>
          </cell>
          <cell r="B91">
            <v>0</v>
          </cell>
        </row>
        <row r="92">
          <cell r="A92">
            <v>0</v>
          </cell>
          <cell r="B92">
            <v>0</v>
          </cell>
        </row>
        <row r="93">
          <cell r="A93">
            <v>0</v>
          </cell>
          <cell r="B93">
            <v>0</v>
          </cell>
        </row>
        <row r="94">
          <cell r="A94">
            <v>0</v>
          </cell>
          <cell r="B94">
            <v>0</v>
          </cell>
        </row>
        <row r="95">
          <cell r="A95">
            <v>18</v>
          </cell>
          <cell r="B95">
            <v>805053431</v>
          </cell>
        </row>
        <row r="96">
          <cell r="A96">
            <v>31</v>
          </cell>
          <cell r="B96">
            <v>19355462</v>
          </cell>
        </row>
        <row r="97">
          <cell r="A97">
            <v>53</v>
          </cell>
          <cell r="B97">
            <v>13</v>
          </cell>
        </row>
        <row r="98">
          <cell r="A98">
            <v>102</v>
          </cell>
          <cell r="B98">
            <v>9601164052</v>
          </cell>
        </row>
        <row r="99">
          <cell r="A99">
            <v>106</v>
          </cell>
          <cell r="B99">
            <v>17159847</v>
          </cell>
        </row>
        <row r="100">
          <cell r="A100">
            <v>123</v>
          </cell>
          <cell r="B100">
            <v>9437609891</v>
          </cell>
        </row>
        <row r="101">
          <cell r="A101">
            <v>152</v>
          </cell>
          <cell r="B101">
            <v>403075</v>
          </cell>
        </row>
        <row r="102">
          <cell r="A102">
            <v>158</v>
          </cell>
          <cell r="B102">
            <v>121562418</v>
          </cell>
        </row>
        <row r="103">
          <cell r="A103">
            <v>161</v>
          </cell>
          <cell r="B103">
            <v>19579946</v>
          </cell>
        </row>
        <row r="104">
          <cell r="A104">
            <v>170</v>
          </cell>
          <cell r="B104">
            <v>121562418</v>
          </cell>
        </row>
        <row r="105">
          <cell r="A105">
            <v>226</v>
          </cell>
          <cell r="B105">
            <v>70000000</v>
          </cell>
        </row>
        <row r="106">
          <cell r="A106">
            <v>304</v>
          </cell>
          <cell r="B106">
            <v>19355462</v>
          </cell>
        </row>
        <row r="107">
          <cell r="A107">
            <v>312</v>
          </cell>
          <cell r="B107">
            <v>782</v>
          </cell>
        </row>
        <row r="108">
          <cell r="A108">
            <v>318</v>
          </cell>
          <cell r="B108">
            <v>178902862</v>
          </cell>
        </row>
        <row r="109">
          <cell r="A109">
            <v>606</v>
          </cell>
          <cell r="B109">
            <v>82220</v>
          </cell>
        </row>
        <row r="110">
          <cell r="A110">
            <v>614</v>
          </cell>
          <cell r="B110" t="str">
            <v>X</v>
          </cell>
        </row>
        <row r="111">
          <cell r="A111">
            <v>625</v>
          </cell>
          <cell r="B111">
            <v>862848904</v>
          </cell>
        </row>
        <row r="112">
          <cell r="A112">
            <v>627</v>
          </cell>
          <cell r="B112">
            <v>14337330</v>
          </cell>
        </row>
        <row r="113">
          <cell r="A113">
            <v>630</v>
          </cell>
          <cell r="B113">
            <v>89861665539</v>
          </cell>
        </row>
        <row r="114">
          <cell r="A114">
            <v>632</v>
          </cell>
          <cell r="B114">
            <v>37707777</v>
          </cell>
        </row>
        <row r="115">
          <cell r="A115">
            <v>636</v>
          </cell>
          <cell r="B115">
            <v>812297504</v>
          </cell>
        </row>
        <row r="116">
          <cell r="A116">
            <v>639</v>
          </cell>
          <cell r="B116">
            <v>146234624</v>
          </cell>
        </row>
        <row r="117">
          <cell r="A117">
            <v>645</v>
          </cell>
          <cell r="B117">
            <v>4871114998</v>
          </cell>
        </row>
        <row r="118">
          <cell r="A118">
            <v>651</v>
          </cell>
          <cell r="B118">
            <v>294563096</v>
          </cell>
        </row>
        <row r="119">
          <cell r="A119">
            <v>774</v>
          </cell>
          <cell r="B119">
            <v>3893990717</v>
          </cell>
        </row>
        <row r="120">
          <cell r="A120">
            <v>785</v>
          </cell>
          <cell r="B120">
            <v>37707777</v>
          </cell>
        </row>
        <row r="121">
          <cell r="A121">
            <v>843</v>
          </cell>
          <cell r="B121">
            <v>4871114998</v>
          </cell>
        </row>
        <row r="122">
          <cell r="A122">
            <v>847</v>
          </cell>
          <cell r="B122">
            <v>14337330</v>
          </cell>
        </row>
        <row r="123">
          <cell r="A123">
            <v>874</v>
          </cell>
          <cell r="B123">
            <v>805053431</v>
          </cell>
        </row>
        <row r="124">
          <cell r="A124">
            <v>926</v>
          </cell>
          <cell r="B124">
            <v>37707777</v>
          </cell>
        </row>
        <row r="125">
          <cell r="A125">
            <v>940</v>
          </cell>
          <cell r="B125">
            <v>420</v>
          </cell>
        </row>
        <row r="126">
          <cell r="A126">
            <v>0</v>
          </cell>
          <cell r="B126" t="str">
            <v>IMPTO. A PAGAR</v>
          </cell>
        </row>
        <row r="127">
          <cell r="A127">
            <v>23207586</v>
          </cell>
          <cell r="B127">
            <v>55</v>
          </cell>
        </row>
        <row r="128">
          <cell r="A128">
            <v>0</v>
          </cell>
          <cell r="B128">
            <v>56</v>
          </cell>
        </row>
        <row r="129">
          <cell r="A129">
            <v>0</v>
          </cell>
          <cell r="B129">
            <v>57</v>
          </cell>
        </row>
        <row r="130">
          <cell r="A130">
            <v>0</v>
          </cell>
          <cell r="B130">
            <v>0</v>
          </cell>
        </row>
        <row r="131">
          <cell r="A131">
            <v>0</v>
          </cell>
          <cell r="B131">
            <v>0</v>
          </cell>
        </row>
        <row r="132">
          <cell r="A132">
            <v>0</v>
          </cell>
          <cell r="B132">
            <v>0</v>
          </cell>
        </row>
        <row r="133">
          <cell r="A133">
            <v>0</v>
          </cell>
          <cell r="B133">
            <v>0</v>
          </cell>
        </row>
        <row r="134">
          <cell r="A134">
            <v>0</v>
          </cell>
          <cell r="B134">
            <v>0</v>
          </cell>
        </row>
        <row r="135">
          <cell r="A135">
            <v>0</v>
          </cell>
          <cell r="B135">
            <v>0</v>
          </cell>
        </row>
        <row r="136">
          <cell r="A136">
            <v>23207586</v>
          </cell>
          <cell r="B136" t="str">
            <v>RECARGOS POR MORA EN EL PAGO</v>
          </cell>
        </row>
        <row r="137">
          <cell r="A137">
            <v>0</v>
          </cell>
          <cell r="B137">
            <v>58</v>
          </cell>
        </row>
        <row r="138">
          <cell r="A138">
            <v>0</v>
          </cell>
          <cell r="B138">
            <v>59</v>
          </cell>
        </row>
        <row r="139">
          <cell r="A139">
            <v>0</v>
          </cell>
          <cell r="B139">
            <v>60</v>
          </cell>
        </row>
        <row r="140">
          <cell r="A140">
            <v>0</v>
          </cell>
          <cell r="B140">
            <v>0</v>
          </cell>
        </row>
        <row r="141">
          <cell r="A141">
            <v>0</v>
          </cell>
          <cell r="B141">
            <v>0</v>
          </cell>
        </row>
        <row r="142">
          <cell r="A142">
            <v>0</v>
          </cell>
          <cell r="B142">
            <v>0</v>
          </cell>
        </row>
        <row r="143">
          <cell r="A143">
            <v>0</v>
          </cell>
          <cell r="B143">
            <v>0</v>
          </cell>
        </row>
        <row r="144">
          <cell r="A144">
            <v>0</v>
          </cell>
          <cell r="B144">
            <v>0</v>
          </cell>
        </row>
        <row r="145">
          <cell r="A145">
            <v>0</v>
          </cell>
          <cell r="B145">
            <v>0</v>
          </cell>
        </row>
        <row r="146">
          <cell r="A146">
            <v>0</v>
          </cell>
          <cell r="B146">
            <v>0</v>
          </cell>
        </row>
        <row r="147">
          <cell r="A147">
            <v>0</v>
          </cell>
          <cell r="B147">
            <v>0</v>
          </cell>
        </row>
        <row r="148">
          <cell r="A148">
            <v>0</v>
          </cell>
          <cell r="B148">
            <v>0</v>
          </cell>
        </row>
        <row r="149">
          <cell r="A149">
            <v>0</v>
          </cell>
          <cell r="B149">
            <v>0</v>
          </cell>
        </row>
        <row r="150">
          <cell r="A150">
            <v>0</v>
          </cell>
          <cell r="B150">
            <v>0</v>
          </cell>
        </row>
        <row r="151">
          <cell r="A151">
            <v>0</v>
          </cell>
          <cell r="B151">
            <v>0</v>
          </cell>
        </row>
        <row r="152">
          <cell r="A152">
            <v>0</v>
          </cell>
          <cell r="B152">
            <v>0</v>
          </cell>
        </row>
        <row r="153">
          <cell r="A153">
            <v>0</v>
          </cell>
          <cell r="B153">
            <v>0</v>
          </cell>
        </row>
        <row r="154">
          <cell r="A154">
            <v>0</v>
          </cell>
          <cell r="B154">
            <v>0</v>
          </cell>
        </row>
        <row r="155">
          <cell r="A155">
            <v>0</v>
          </cell>
          <cell r="B155">
            <v>0</v>
          </cell>
        </row>
        <row r="156">
          <cell r="A156">
            <v>0</v>
          </cell>
          <cell r="B156">
            <v>0</v>
          </cell>
        </row>
        <row r="157">
          <cell r="A157">
            <v>0</v>
          </cell>
          <cell r="B157">
            <v>0</v>
          </cell>
        </row>
        <row r="158">
          <cell r="A158">
            <v>0</v>
          </cell>
          <cell r="B158">
            <v>0</v>
          </cell>
        </row>
        <row r="159">
          <cell r="A159">
            <v>0</v>
          </cell>
          <cell r="B159">
            <v>0</v>
          </cell>
        </row>
        <row r="160">
          <cell r="A160">
            <v>0</v>
          </cell>
          <cell r="B160">
            <v>0</v>
          </cell>
        </row>
        <row r="161">
          <cell r="A161">
            <v>0</v>
          </cell>
          <cell r="B161">
            <v>0</v>
          </cell>
        </row>
        <row r="162">
          <cell r="A162">
            <v>0</v>
          </cell>
          <cell r="B162">
            <v>0</v>
          </cell>
        </row>
        <row r="163">
          <cell r="A163">
            <v>0</v>
          </cell>
          <cell r="B163">
            <v>0</v>
          </cell>
        </row>
        <row r="164">
          <cell r="A164">
            <v>0</v>
          </cell>
          <cell r="B164">
            <v>0</v>
          </cell>
        </row>
        <row r="165">
          <cell r="A165">
            <v>0</v>
          </cell>
          <cell r="B165">
            <v>0</v>
          </cell>
        </row>
        <row r="166">
          <cell r="A166">
            <v>0</v>
          </cell>
          <cell r="B166">
            <v>0</v>
          </cell>
        </row>
        <row r="167">
          <cell r="A167">
            <v>0</v>
          </cell>
          <cell r="B167">
            <v>0</v>
          </cell>
        </row>
        <row r="168">
          <cell r="A168">
            <v>0</v>
          </cell>
          <cell r="B168">
            <v>0</v>
          </cell>
        </row>
        <row r="169">
          <cell r="A169">
            <v>0</v>
          </cell>
          <cell r="B169">
            <v>0</v>
          </cell>
        </row>
        <row r="170">
          <cell r="A170">
            <v>0</v>
          </cell>
          <cell r="B170">
            <v>0</v>
          </cell>
        </row>
        <row r="171">
          <cell r="A171">
            <v>0</v>
          </cell>
          <cell r="B171">
            <v>0</v>
          </cell>
        </row>
        <row r="172">
          <cell r="A172">
            <v>0</v>
          </cell>
          <cell r="B172">
            <v>0</v>
          </cell>
        </row>
        <row r="173">
          <cell r="A173">
            <v>0</v>
          </cell>
          <cell r="B173">
            <v>0</v>
          </cell>
        </row>
        <row r="174">
          <cell r="A174">
            <v>0</v>
          </cell>
          <cell r="B174">
            <v>0</v>
          </cell>
        </row>
        <row r="175">
          <cell r="A175">
            <v>0</v>
          </cell>
          <cell r="B175">
            <v>0</v>
          </cell>
        </row>
        <row r="176">
          <cell r="A176">
            <v>0</v>
          </cell>
          <cell r="B176">
            <v>0</v>
          </cell>
        </row>
        <row r="177">
          <cell r="A177">
            <v>85</v>
          </cell>
          <cell r="B177">
            <v>23207586</v>
          </cell>
        </row>
        <row r="178">
          <cell r="A178">
            <v>86</v>
          </cell>
          <cell r="B178">
            <v>0</v>
          </cell>
        </row>
        <row r="179">
          <cell r="A179">
            <v>87</v>
          </cell>
          <cell r="B179">
            <v>23207586</v>
          </cell>
        </row>
        <row r="180">
          <cell r="A180">
            <v>90</v>
          </cell>
          <cell r="B180">
            <v>0</v>
          </cell>
        </row>
        <row r="181">
          <cell r="A181">
            <v>39</v>
          </cell>
          <cell r="B181">
            <v>0</v>
          </cell>
        </row>
        <row r="182">
          <cell r="A182">
            <v>91</v>
          </cell>
          <cell r="B182">
            <v>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108"/>
  <sheetViews>
    <sheetView showGridLines="0" tabSelected="1" zoomScale="90" zoomScaleNormal="90" zoomScalePageLayoutView="85" workbookViewId="0"/>
  </sheetViews>
  <sheetFormatPr baseColWidth="10" defaultColWidth="9.140625" defaultRowHeight="15" x14ac:dyDescent="0.25"/>
  <cols>
    <col min="1" max="1" width="2.42578125" style="6" customWidth="1"/>
    <col min="2" max="2" width="4.42578125" style="6" bestFit="1" customWidth="1"/>
    <col min="3" max="3" width="32.140625" style="6" customWidth="1"/>
    <col min="4" max="4" width="21.140625" style="6" customWidth="1"/>
    <col min="5" max="5" width="16.85546875" style="6" customWidth="1"/>
    <col min="6" max="6" width="8.7109375" style="6" customWidth="1"/>
    <col min="7" max="7" width="18.85546875" style="6" customWidth="1"/>
    <col min="8" max="8" width="13.28515625" style="6" customWidth="1"/>
    <col min="9" max="9" width="13" style="6" bestFit="1" customWidth="1"/>
    <col min="10" max="10" width="14" style="5" bestFit="1" customWidth="1"/>
    <col min="11" max="11" width="13.85546875" style="5" customWidth="1"/>
    <col min="12" max="12" width="13.140625" style="5" customWidth="1"/>
    <col min="13" max="13" width="13.42578125" style="5" customWidth="1"/>
    <col min="14" max="14" width="13.42578125" style="6" customWidth="1"/>
    <col min="15" max="15" width="14" style="6" customWidth="1"/>
    <col min="16" max="16" width="11.85546875" style="6" customWidth="1"/>
    <col min="17" max="16384" width="9.140625" style="6"/>
  </cols>
  <sheetData>
    <row r="1" spans="2:16" x14ac:dyDescent="0.25">
      <c r="B1" s="22"/>
      <c r="C1" s="22"/>
      <c r="D1" s="22"/>
      <c r="E1" s="22"/>
      <c r="F1" s="22"/>
      <c r="G1" s="22"/>
      <c r="H1" s="22"/>
      <c r="I1" s="22"/>
      <c r="J1" s="21"/>
      <c r="K1" s="21"/>
      <c r="L1" s="21"/>
      <c r="M1" s="21"/>
      <c r="N1" s="22"/>
      <c r="O1" s="22"/>
      <c r="P1" s="22"/>
    </row>
    <row r="2" spans="2:16" x14ac:dyDescent="0.25">
      <c r="B2" s="60" t="s">
        <v>0</v>
      </c>
      <c r="C2" s="22"/>
      <c r="D2" s="22"/>
      <c r="E2" s="22"/>
      <c r="F2" s="22"/>
      <c r="G2" s="22"/>
      <c r="H2" s="22"/>
      <c r="I2" s="22"/>
      <c r="J2" s="21"/>
      <c r="K2" s="21"/>
      <c r="L2" s="21"/>
      <c r="M2" s="21"/>
      <c r="N2" s="22"/>
      <c r="O2" s="22"/>
      <c r="P2" s="22"/>
    </row>
    <row r="3" spans="2:16" ht="19.5" customHeight="1" x14ac:dyDescent="0.25">
      <c r="B3" s="456" t="s">
        <v>1</v>
      </c>
      <c r="C3" s="458" t="s">
        <v>2</v>
      </c>
      <c r="D3" s="458"/>
      <c r="E3" s="458"/>
      <c r="F3" s="458"/>
      <c r="G3" s="458"/>
      <c r="H3" s="458"/>
      <c r="I3" s="458"/>
      <c r="J3" s="458"/>
      <c r="K3" s="458"/>
      <c r="L3" s="458"/>
      <c r="M3" s="24"/>
      <c r="N3" s="22"/>
      <c r="O3" s="22"/>
      <c r="P3" s="22"/>
    </row>
    <row r="4" spans="2:16" ht="15" customHeight="1" x14ac:dyDescent="0.25">
      <c r="B4" s="456"/>
      <c r="C4" s="458"/>
      <c r="D4" s="458"/>
      <c r="E4" s="458"/>
      <c r="F4" s="458"/>
      <c r="G4" s="458"/>
      <c r="H4" s="458"/>
      <c r="I4" s="458"/>
      <c r="J4" s="458"/>
      <c r="K4" s="458"/>
      <c r="L4" s="458"/>
      <c r="M4" s="24"/>
      <c r="N4" s="22"/>
      <c r="O4" s="22"/>
      <c r="P4" s="22"/>
    </row>
    <row r="5" spans="2:16" x14ac:dyDescent="0.25">
      <c r="B5" s="22"/>
      <c r="C5" s="22"/>
      <c r="D5" s="22"/>
      <c r="E5" s="22"/>
      <c r="F5" s="22"/>
      <c r="G5" s="22"/>
      <c r="H5" s="22"/>
      <c r="I5" s="22"/>
      <c r="J5" s="21"/>
      <c r="K5" s="21"/>
      <c r="L5" s="21"/>
      <c r="M5" s="21"/>
      <c r="N5" s="22"/>
      <c r="O5" s="22"/>
      <c r="P5" s="22"/>
    </row>
    <row r="6" spans="2:16" x14ac:dyDescent="0.25">
      <c r="B6" s="22" t="s">
        <v>3</v>
      </c>
      <c r="C6" s="457" t="s">
        <v>4</v>
      </c>
      <c r="D6" s="457"/>
      <c r="E6" s="457"/>
      <c r="F6" s="457"/>
      <c r="G6" s="457"/>
      <c r="H6" s="457"/>
      <c r="I6" s="457"/>
      <c r="J6" s="457"/>
      <c r="K6" s="457"/>
      <c r="L6" s="457"/>
      <c r="M6" s="21"/>
      <c r="N6" s="22"/>
      <c r="O6" s="22"/>
      <c r="P6" s="22"/>
    </row>
    <row r="7" spans="2:16" ht="45" customHeight="1" x14ac:dyDescent="0.25">
      <c r="B7" s="22"/>
      <c r="C7" s="25"/>
      <c r="D7" s="25"/>
      <c r="E7" s="25"/>
      <c r="F7" s="25"/>
      <c r="G7" s="25"/>
      <c r="H7" s="25"/>
      <c r="I7" s="25"/>
      <c r="J7" s="158" t="s">
        <v>430</v>
      </c>
      <c r="K7" s="159" t="s">
        <v>429</v>
      </c>
      <c r="L7" s="158" t="s">
        <v>5</v>
      </c>
      <c r="M7" s="21"/>
      <c r="N7" s="22"/>
      <c r="O7" s="22"/>
      <c r="P7" s="22"/>
    </row>
    <row r="8" spans="2:16" x14ac:dyDescent="0.25">
      <c r="B8" s="22"/>
      <c r="C8" s="146" t="s">
        <v>424</v>
      </c>
      <c r="D8" s="147"/>
      <c r="E8" s="147"/>
      <c r="F8" s="147"/>
      <c r="G8" s="147"/>
      <c r="H8" s="147"/>
      <c r="I8" s="148"/>
      <c r="J8" s="149">
        <v>0.5</v>
      </c>
      <c r="K8" s="147">
        <v>15000000</v>
      </c>
      <c r="L8" s="150">
        <f>+K8*1.02</f>
        <v>15300000</v>
      </c>
      <c r="M8" s="22"/>
      <c r="N8" s="22"/>
      <c r="O8" s="22"/>
      <c r="P8" s="22"/>
    </row>
    <row r="9" spans="2:16" ht="15" customHeight="1" thickBot="1" x14ac:dyDescent="0.3">
      <c r="B9" s="22"/>
      <c r="C9" s="153" t="s">
        <v>425</v>
      </c>
      <c r="D9" s="154"/>
      <c r="E9" s="154"/>
      <c r="F9" s="154"/>
      <c r="G9" s="154"/>
      <c r="H9" s="154"/>
      <c r="I9" s="155"/>
      <c r="J9" s="156">
        <v>0.5</v>
      </c>
      <c r="K9" s="154">
        <f>+K8</f>
        <v>15000000</v>
      </c>
      <c r="L9" s="157">
        <f>+K9*1.02</f>
        <v>15300000</v>
      </c>
      <c r="M9" s="22"/>
      <c r="N9" s="22"/>
      <c r="O9" s="22"/>
      <c r="P9" s="22"/>
    </row>
    <row r="10" spans="2:16" ht="15.75" thickTop="1" x14ac:dyDescent="0.25">
      <c r="B10" s="22"/>
      <c r="C10" s="141" t="s">
        <v>426</v>
      </c>
      <c r="D10" s="142"/>
      <c r="E10" s="143"/>
      <c r="F10" s="143"/>
      <c r="G10" s="143"/>
      <c r="H10" s="143"/>
      <c r="I10" s="145"/>
      <c r="J10" s="152">
        <f>SUM(J8:J9)</f>
        <v>1</v>
      </c>
      <c r="K10" s="143">
        <f>SUM(K8:K9)</f>
        <v>30000000</v>
      </c>
      <c r="L10" s="151">
        <f>SUM(L8:L9)</f>
        <v>30600000</v>
      </c>
      <c r="M10" s="22"/>
      <c r="N10" s="22"/>
      <c r="O10" s="22"/>
      <c r="P10" s="22"/>
    </row>
    <row r="11" spans="2:16" x14ac:dyDescent="0.25">
      <c r="B11" s="27"/>
      <c r="C11" s="455"/>
      <c r="D11" s="455"/>
      <c r="E11" s="455"/>
      <c r="F11" s="455"/>
      <c r="G11" s="455"/>
      <c r="H11" s="455"/>
      <c r="I11" s="455"/>
      <c r="J11" s="455"/>
      <c r="K11" s="455"/>
      <c r="L11" s="455"/>
      <c r="M11" s="21"/>
      <c r="N11" s="22"/>
      <c r="O11" s="22"/>
      <c r="P11" s="22"/>
    </row>
    <row r="12" spans="2:16" x14ac:dyDescent="0.25">
      <c r="B12" s="22" t="s">
        <v>6</v>
      </c>
      <c r="C12" s="30" t="s">
        <v>7</v>
      </c>
      <c r="D12" s="22"/>
      <c r="E12" s="22"/>
      <c r="F12" s="22"/>
      <c r="G12" s="22"/>
      <c r="H12" s="22"/>
      <c r="I12" s="22"/>
      <c r="J12" s="21"/>
      <c r="K12" s="21"/>
      <c r="L12" s="21"/>
      <c r="M12" s="21"/>
      <c r="N12" s="22"/>
      <c r="O12" s="22"/>
      <c r="P12" s="22"/>
    </row>
    <row r="13" spans="2:16" x14ac:dyDescent="0.25">
      <c r="B13" s="22"/>
      <c r="C13" s="22"/>
      <c r="D13" s="22"/>
      <c r="E13" s="22"/>
      <c r="F13" s="22"/>
      <c r="G13" s="22"/>
      <c r="H13" s="22"/>
      <c r="I13" s="22"/>
      <c r="J13" s="21"/>
      <c r="K13" s="21"/>
      <c r="L13" s="21"/>
      <c r="M13" s="21"/>
      <c r="N13" s="22"/>
      <c r="O13" s="22"/>
      <c r="P13" s="22"/>
    </row>
    <row r="14" spans="2:16" s="63" customFormat="1" ht="25.5" x14ac:dyDescent="0.25">
      <c r="B14" s="61"/>
      <c r="C14" s="182" t="s">
        <v>427</v>
      </c>
      <c r="D14" s="189"/>
      <c r="E14" s="189"/>
      <c r="F14" s="189"/>
      <c r="G14" s="189"/>
      <c r="H14" s="189"/>
      <c r="I14" s="190"/>
      <c r="J14" s="209" t="s">
        <v>444</v>
      </c>
      <c r="K14" s="209" t="s">
        <v>8</v>
      </c>
      <c r="L14" s="210" t="s">
        <v>431</v>
      </c>
      <c r="M14" s="62"/>
      <c r="N14" s="61"/>
      <c r="O14" s="61"/>
      <c r="P14" s="61"/>
    </row>
    <row r="15" spans="2:16" s="7" customFormat="1" ht="12.75" x14ac:dyDescent="0.2">
      <c r="B15" s="22"/>
      <c r="C15" s="461" t="s">
        <v>9</v>
      </c>
      <c r="D15" s="462"/>
      <c r="E15" s="462"/>
      <c r="F15" s="462"/>
      <c r="G15" s="462"/>
      <c r="H15" s="462"/>
      <c r="I15" s="463"/>
      <c r="J15" s="169">
        <v>95000000</v>
      </c>
      <c r="K15" s="173"/>
      <c r="L15" s="172">
        <f>+J15-K15</f>
        <v>95000000</v>
      </c>
      <c r="M15" s="21"/>
      <c r="N15" s="22"/>
      <c r="O15" s="22"/>
      <c r="P15" s="22"/>
    </row>
    <row r="16" spans="2:16" s="7" customFormat="1" ht="12.75" x14ac:dyDescent="0.2">
      <c r="B16" s="22"/>
      <c r="C16" s="464" t="s">
        <v>10</v>
      </c>
      <c r="D16" s="465"/>
      <c r="E16" s="465"/>
      <c r="F16" s="465"/>
      <c r="G16" s="465"/>
      <c r="H16" s="465"/>
      <c r="I16" s="466"/>
      <c r="J16" s="170">
        <v>8000000</v>
      </c>
      <c r="K16" s="173">
        <v>8000000</v>
      </c>
      <c r="L16" s="172">
        <f t="shared" ref="L16:L18" si="0">+J16-K16</f>
        <v>0</v>
      </c>
      <c r="M16" s="21"/>
      <c r="N16" s="22"/>
      <c r="O16" s="22"/>
      <c r="P16" s="22"/>
    </row>
    <row r="17" spans="2:16" s="7" customFormat="1" ht="12.75" x14ac:dyDescent="0.2">
      <c r="B17" s="29"/>
      <c r="C17" s="467" t="s">
        <v>11</v>
      </c>
      <c r="D17" s="468"/>
      <c r="E17" s="468"/>
      <c r="F17" s="468"/>
      <c r="G17" s="468"/>
      <c r="H17" s="468"/>
      <c r="I17" s="469"/>
      <c r="J17" s="171">
        <v>5000000</v>
      </c>
      <c r="K17" s="174">
        <v>5000000</v>
      </c>
      <c r="L17" s="172">
        <f t="shared" si="0"/>
        <v>0</v>
      </c>
      <c r="M17" s="21"/>
      <c r="N17" s="22"/>
      <c r="O17" s="22"/>
      <c r="P17" s="22"/>
    </row>
    <row r="18" spans="2:16" s="7" customFormat="1" ht="13.5" thickBot="1" x14ac:dyDescent="0.25">
      <c r="B18" s="22"/>
      <c r="C18" s="470" t="s">
        <v>12</v>
      </c>
      <c r="D18" s="471"/>
      <c r="E18" s="471"/>
      <c r="F18" s="471"/>
      <c r="G18" s="471"/>
      <c r="H18" s="471"/>
      <c r="I18" s="472"/>
      <c r="J18" s="179">
        <v>8000000</v>
      </c>
      <c r="K18" s="180"/>
      <c r="L18" s="181">
        <f t="shared" si="0"/>
        <v>8000000</v>
      </c>
      <c r="M18" s="21"/>
      <c r="N18" s="22"/>
      <c r="O18" s="22"/>
      <c r="P18" s="22"/>
    </row>
    <row r="19" spans="2:16" s="63" customFormat="1" ht="15" customHeight="1" thickTop="1" x14ac:dyDescent="0.25">
      <c r="B19" s="61"/>
      <c r="C19" s="184" t="s">
        <v>428</v>
      </c>
      <c r="D19" s="164"/>
      <c r="E19" s="165"/>
      <c r="F19" s="165"/>
      <c r="G19" s="165"/>
      <c r="H19" s="165"/>
      <c r="I19" s="175"/>
      <c r="J19" s="185">
        <f>SUM(J15:J18)</f>
        <v>116000000</v>
      </c>
      <c r="K19" s="186">
        <f>SUM(K15:K18)</f>
        <v>13000000</v>
      </c>
      <c r="L19" s="187">
        <f>SUM(L15:L18)</f>
        <v>103000000</v>
      </c>
      <c r="M19" s="62"/>
      <c r="N19" s="61"/>
      <c r="O19" s="61"/>
      <c r="P19" s="61"/>
    </row>
    <row r="20" spans="2:16" s="7" customFormat="1" ht="25.5" x14ac:dyDescent="0.2">
      <c r="B20" s="22"/>
      <c r="C20" s="182" t="s">
        <v>432</v>
      </c>
      <c r="D20" s="163"/>
      <c r="E20" s="191"/>
      <c r="F20" s="192"/>
      <c r="G20" s="192"/>
      <c r="H20" s="192"/>
      <c r="I20" s="192"/>
      <c r="J20" s="193"/>
      <c r="K20" s="183"/>
      <c r="L20" s="183" t="s">
        <v>431</v>
      </c>
      <c r="M20" s="21"/>
      <c r="N20" s="22"/>
      <c r="O20" s="22"/>
      <c r="P20" s="22"/>
    </row>
    <row r="21" spans="2:16" s="7" customFormat="1" ht="12.75" x14ac:dyDescent="0.2">
      <c r="B21" s="22"/>
      <c r="C21" s="166" t="s">
        <v>13</v>
      </c>
      <c r="D21" s="167"/>
      <c r="E21" s="198"/>
      <c r="F21" s="199"/>
      <c r="G21" s="199"/>
      <c r="H21" s="199"/>
      <c r="I21" s="199"/>
      <c r="J21" s="200"/>
      <c r="K21" s="201"/>
      <c r="L21" s="202">
        <f>200000+92+17+8+4-2+5+1</f>
        <v>200125</v>
      </c>
      <c r="M21" s="21"/>
      <c r="N21" s="22"/>
      <c r="O21" s="22"/>
      <c r="P21" s="22"/>
    </row>
    <row r="22" spans="2:16" s="7" customFormat="1" ht="13.5" thickBot="1" x14ac:dyDescent="0.25">
      <c r="B22" s="22"/>
      <c r="C22" s="176" t="s">
        <v>14</v>
      </c>
      <c r="D22" s="177"/>
      <c r="E22" s="204"/>
      <c r="F22" s="205"/>
      <c r="G22" s="205"/>
      <c r="H22" s="205"/>
      <c r="I22" s="205"/>
      <c r="J22" s="206"/>
      <c r="K22" s="207"/>
      <c r="L22" s="208">
        <v>8000000</v>
      </c>
      <c r="M22" s="21"/>
      <c r="N22" s="22"/>
      <c r="O22" s="22"/>
      <c r="P22" s="22"/>
    </row>
    <row r="23" spans="2:16" s="7" customFormat="1" ht="13.5" thickTop="1" x14ac:dyDescent="0.2">
      <c r="B23" s="22"/>
      <c r="C23" s="203" t="s">
        <v>433</v>
      </c>
      <c r="D23" s="194"/>
      <c r="E23" s="195"/>
      <c r="F23" s="195"/>
      <c r="G23" s="195"/>
      <c r="H23" s="195"/>
      <c r="I23" s="195"/>
      <c r="J23" s="196"/>
      <c r="K23" s="197"/>
      <c r="L23" s="188">
        <f>SUM(L21:L22)</f>
        <v>8200125</v>
      </c>
      <c r="M23" s="21"/>
      <c r="N23" s="22"/>
      <c r="O23" s="22"/>
      <c r="P23" s="22"/>
    </row>
    <row r="24" spans="2:16" s="63" customFormat="1" ht="30.75" customHeight="1" x14ac:dyDescent="0.25">
      <c r="B24" s="61"/>
      <c r="C24" s="211" t="s">
        <v>434</v>
      </c>
      <c r="D24" s="212"/>
      <c r="E24" s="213"/>
      <c r="F24" s="214"/>
      <c r="G24" s="215"/>
      <c r="H24" s="473" t="s">
        <v>15</v>
      </c>
      <c r="I24" s="474"/>
      <c r="J24" s="217" t="s">
        <v>16</v>
      </c>
      <c r="K24" s="225" t="s">
        <v>440</v>
      </c>
      <c r="L24" s="210" t="s">
        <v>435</v>
      </c>
      <c r="M24" s="62"/>
      <c r="N24" s="61"/>
      <c r="O24" s="61"/>
      <c r="P24" s="61"/>
    </row>
    <row r="25" spans="2:16" s="7" customFormat="1" ht="12.75" x14ac:dyDescent="0.2">
      <c r="B25" s="22"/>
      <c r="C25" s="160" t="s">
        <v>17</v>
      </c>
      <c r="D25" s="30" t="s">
        <v>18</v>
      </c>
      <c r="E25" s="31"/>
      <c r="F25" s="32"/>
      <c r="G25" s="32"/>
      <c r="H25" s="475" t="s">
        <v>19</v>
      </c>
      <c r="I25" s="476"/>
      <c r="J25" s="218">
        <v>0.369863</v>
      </c>
      <c r="K25" s="170">
        <f>ROUND(+L25*J25,0)</f>
        <v>92466</v>
      </c>
      <c r="L25" s="216">
        <v>250000</v>
      </c>
      <c r="M25" s="21"/>
      <c r="N25" s="22"/>
      <c r="O25" s="22"/>
      <c r="P25" s="22"/>
    </row>
    <row r="26" spans="2:16" s="7" customFormat="1" ht="12.75" x14ac:dyDescent="0.2">
      <c r="B26" s="22"/>
      <c r="C26" s="160" t="s">
        <v>20</v>
      </c>
      <c r="D26" s="30" t="s">
        <v>21</v>
      </c>
      <c r="E26" s="31"/>
      <c r="F26" s="32"/>
      <c r="G26" s="32"/>
      <c r="H26" s="477" t="s">
        <v>22</v>
      </c>
      <c r="I26" s="478"/>
      <c r="J26" s="218">
        <v>0.14285700000000001</v>
      </c>
      <c r="K26" s="170">
        <f>ROUND(+L26*J26,0)</f>
        <v>28571</v>
      </c>
      <c r="L26" s="216">
        <v>200000</v>
      </c>
      <c r="M26" s="21"/>
      <c r="N26" s="22"/>
      <c r="O26" s="22"/>
      <c r="P26" s="22"/>
    </row>
    <row r="27" spans="2:16" s="7" customFormat="1" ht="12.75" x14ac:dyDescent="0.2">
      <c r="B27" s="22"/>
      <c r="C27" s="160" t="s">
        <v>23</v>
      </c>
      <c r="D27" s="30" t="s">
        <v>24</v>
      </c>
      <c r="E27" s="31"/>
      <c r="F27" s="32"/>
      <c r="G27" s="32"/>
      <c r="H27" s="477" t="s">
        <v>25</v>
      </c>
      <c r="I27" s="478"/>
      <c r="J27" s="218">
        <v>0.22874700000000001</v>
      </c>
      <c r="K27" s="170">
        <f>ROUND(+L27*J27,0)</f>
        <v>36600</v>
      </c>
      <c r="L27" s="216">
        <v>160000</v>
      </c>
      <c r="M27" s="21"/>
      <c r="N27" s="22"/>
      <c r="O27" s="22"/>
      <c r="P27" s="22"/>
    </row>
    <row r="28" spans="2:16" s="7" customFormat="1" ht="12.75" x14ac:dyDescent="0.2">
      <c r="B28" s="22"/>
      <c r="C28" s="160" t="s">
        <v>26</v>
      </c>
      <c r="D28" s="30" t="s">
        <v>27</v>
      </c>
      <c r="E28" s="31"/>
      <c r="F28" s="32"/>
      <c r="G28" s="32"/>
      <c r="H28" s="32"/>
      <c r="I28" s="224"/>
      <c r="J28" s="219"/>
      <c r="K28" s="170"/>
      <c r="L28" s="216">
        <v>30000</v>
      </c>
      <c r="M28" s="21"/>
      <c r="N28" s="22"/>
      <c r="O28" s="22"/>
      <c r="P28" s="22"/>
    </row>
    <row r="29" spans="2:16" s="7" customFormat="1" ht="13.5" thickBot="1" x14ac:dyDescent="0.25">
      <c r="B29" s="22"/>
      <c r="C29" s="176" t="s">
        <v>28</v>
      </c>
      <c r="D29" s="177"/>
      <c r="E29" s="204"/>
      <c r="F29" s="205"/>
      <c r="G29" s="205"/>
      <c r="H29" s="205"/>
      <c r="I29" s="227"/>
      <c r="J29" s="228"/>
      <c r="K29" s="179"/>
      <c r="L29" s="229">
        <v>80000</v>
      </c>
      <c r="M29" s="34"/>
      <c r="N29" s="22"/>
      <c r="O29" s="22"/>
      <c r="P29" s="22"/>
    </row>
    <row r="30" spans="2:16" s="63" customFormat="1" ht="15.75" customHeight="1" thickTop="1" x14ac:dyDescent="0.25">
      <c r="B30" s="61"/>
      <c r="C30" s="184" t="s">
        <v>437</v>
      </c>
      <c r="D30" s="164"/>
      <c r="E30" s="165"/>
      <c r="F30" s="165"/>
      <c r="G30" s="165"/>
      <c r="H30" s="165"/>
      <c r="I30" s="165"/>
      <c r="J30" s="226"/>
      <c r="K30" s="185">
        <f>SUM(K25:K29)</f>
        <v>157637</v>
      </c>
      <c r="L30" s="222">
        <f>SUM(L25:L29)</f>
        <v>720000</v>
      </c>
      <c r="M30" s="62"/>
      <c r="N30" s="61"/>
      <c r="O30" s="61"/>
      <c r="P30" s="61"/>
    </row>
    <row r="31" spans="2:16" s="7" customFormat="1" ht="25.5" x14ac:dyDescent="0.2">
      <c r="B31" s="22"/>
      <c r="C31" s="182" t="s">
        <v>441</v>
      </c>
      <c r="D31" s="163"/>
      <c r="E31" s="191"/>
      <c r="F31" s="192"/>
      <c r="G31" s="192"/>
      <c r="H31" s="192"/>
      <c r="I31" s="192"/>
      <c r="J31" s="193"/>
      <c r="K31" s="183"/>
      <c r="L31" s="183" t="s">
        <v>442</v>
      </c>
      <c r="M31" s="21"/>
      <c r="N31" s="22"/>
      <c r="O31" s="22"/>
      <c r="P31" s="22"/>
    </row>
    <row r="32" spans="2:16" s="7" customFormat="1" ht="13.5" thickBot="1" x14ac:dyDescent="0.25">
      <c r="B32" s="22"/>
      <c r="C32" s="230" t="s">
        <v>436</v>
      </c>
      <c r="D32" s="231"/>
      <c r="E32" s="232"/>
      <c r="F32" s="233"/>
      <c r="G32" s="233"/>
      <c r="H32" s="233"/>
      <c r="I32" s="233"/>
      <c r="J32" s="234"/>
      <c r="K32" s="235"/>
      <c r="L32" s="236">
        <f>'Crédito IPE'!K5</f>
        <v>8000</v>
      </c>
      <c r="M32" s="21"/>
      <c r="N32" s="22"/>
      <c r="O32" s="22"/>
      <c r="P32" s="22"/>
    </row>
    <row r="33" spans="2:23" s="63" customFormat="1" ht="15.75" customHeight="1" thickTop="1" x14ac:dyDescent="0.25">
      <c r="B33" s="61"/>
      <c r="C33" s="184" t="s">
        <v>443</v>
      </c>
      <c r="D33" s="164"/>
      <c r="E33" s="165"/>
      <c r="F33" s="165"/>
      <c r="G33" s="165"/>
      <c r="H33" s="165"/>
      <c r="I33" s="165"/>
      <c r="J33" s="243"/>
      <c r="K33" s="244"/>
      <c r="L33" s="187">
        <f>SUM(L32:L32)</f>
        <v>8000</v>
      </c>
      <c r="M33" s="62"/>
      <c r="N33" s="61"/>
      <c r="O33" s="61"/>
      <c r="P33" s="61"/>
    </row>
    <row r="34" spans="2:23" s="63" customFormat="1" ht="25.5" customHeight="1" x14ac:dyDescent="0.25">
      <c r="B34" s="61"/>
      <c r="C34" s="459" t="s">
        <v>445</v>
      </c>
      <c r="D34" s="460"/>
      <c r="E34" s="214"/>
      <c r="F34" s="214"/>
      <c r="G34" s="214"/>
      <c r="H34" s="214"/>
      <c r="I34" s="223"/>
      <c r="J34" s="209" t="s">
        <v>446</v>
      </c>
      <c r="K34" s="209" t="s">
        <v>447</v>
      </c>
      <c r="L34" s="210" t="s">
        <v>448</v>
      </c>
      <c r="M34" s="62"/>
      <c r="N34" s="61"/>
      <c r="O34" s="61"/>
      <c r="P34" s="61"/>
    </row>
    <row r="35" spans="2:23" s="7" customFormat="1" ht="12.75" customHeight="1" x14ac:dyDescent="0.2">
      <c r="B35" s="22"/>
      <c r="C35" s="160" t="s">
        <v>29</v>
      </c>
      <c r="D35" s="30"/>
      <c r="E35" s="30"/>
      <c r="F35" s="30"/>
      <c r="G35" s="30"/>
      <c r="H35" s="30"/>
      <c r="I35" s="168"/>
      <c r="J35" s="170">
        <v>26000000</v>
      </c>
      <c r="K35" s="170">
        <v>4000000</v>
      </c>
      <c r="L35" s="216">
        <f>+J35-K35</f>
        <v>22000000</v>
      </c>
      <c r="M35" s="21"/>
      <c r="N35" s="22"/>
      <c r="O35" s="22"/>
      <c r="P35" s="22"/>
      <c r="U35" s="454"/>
      <c r="V35" s="454"/>
      <c r="W35" s="454"/>
    </row>
    <row r="36" spans="2:23" s="7" customFormat="1" ht="12.75" x14ac:dyDescent="0.2">
      <c r="B36" s="22"/>
      <c r="C36" s="160" t="s">
        <v>451</v>
      </c>
      <c r="D36" s="30"/>
      <c r="E36" s="30"/>
      <c r="F36" s="30"/>
      <c r="G36" s="30"/>
      <c r="H36" s="30"/>
      <c r="I36" s="168"/>
      <c r="J36" s="170">
        <v>2000000</v>
      </c>
      <c r="K36" s="170"/>
      <c r="L36" s="216">
        <f t="shared" ref="L36" si="1">+J36-K36</f>
        <v>2000000</v>
      </c>
      <c r="M36" s="21"/>
      <c r="N36" s="22"/>
      <c r="O36" s="22"/>
      <c r="P36" s="22"/>
      <c r="U36" s="454"/>
      <c r="V36" s="454"/>
      <c r="W36" s="454"/>
    </row>
    <row r="37" spans="2:23" s="7" customFormat="1" ht="12.75" x14ac:dyDescent="0.2">
      <c r="B37" s="22"/>
      <c r="C37" s="160" t="s">
        <v>536</v>
      </c>
      <c r="D37" s="30"/>
      <c r="E37" s="35">
        <v>8350000</v>
      </c>
      <c r="F37" s="30"/>
      <c r="G37" s="30"/>
      <c r="H37" s="30"/>
      <c r="I37" s="168"/>
      <c r="J37" s="170"/>
      <c r="K37" s="170">
        <v>350000</v>
      </c>
      <c r="L37" s="216">
        <f>+E37-K37</f>
        <v>8000000</v>
      </c>
      <c r="M37" s="21"/>
      <c r="N37" s="22"/>
      <c r="O37" s="22"/>
      <c r="P37" s="22"/>
      <c r="U37" s="454"/>
      <c r="V37" s="454"/>
      <c r="W37" s="454"/>
    </row>
    <row r="38" spans="2:23" s="7" customFormat="1" ht="12.75" x14ac:dyDescent="0.2">
      <c r="B38" s="22"/>
      <c r="C38" s="237" t="s">
        <v>537</v>
      </c>
      <c r="D38" s="238"/>
      <c r="E38" s="59">
        <f>ROUND(1000000/(1-14.5%),0)</f>
        <v>1169591</v>
      </c>
      <c r="F38" s="238"/>
      <c r="G38" s="238"/>
      <c r="H38" s="22"/>
      <c r="I38" s="240"/>
      <c r="J38" s="170"/>
      <c r="K38" s="170">
        <f>ROUND(E38*14.5%,0)</f>
        <v>169591</v>
      </c>
      <c r="L38" s="216">
        <f>+E38-K38</f>
        <v>1000000</v>
      </c>
      <c r="M38" s="21"/>
      <c r="N38" s="22"/>
      <c r="O38" s="22"/>
      <c r="P38" s="22"/>
    </row>
    <row r="39" spans="2:23" s="7" customFormat="1" ht="12.75" x14ac:dyDescent="0.2">
      <c r="B39" s="22"/>
      <c r="C39" s="237" t="s">
        <v>30</v>
      </c>
      <c r="D39" s="238"/>
      <c r="E39" s="238"/>
      <c r="F39" s="238"/>
      <c r="G39" s="238"/>
      <c r="H39" s="238"/>
      <c r="I39" s="241"/>
      <c r="J39" s="170"/>
      <c r="K39" s="170"/>
      <c r="L39" s="216">
        <v>201000</v>
      </c>
      <c r="M39" s="21"/>
      <c r="N39" s="22"/>
      <c r="O39" s="22"/>
      <c r="P39" s="22"/>
    </row>
    <row r="40" spans="2:23" s="7" customFormat="1" ht="12.75" x14ac:dyDescent="0.2">
      <c r="B40" s="22"/>
      <c r="C40" s="237" t="s">
        <v>31</v>
      </c>
      <c r="D40" s="238"/>
      <c r="E40" s="238"/>
      <c r="F40" s="238"/>
      <c r="G40" s="238"/>
      <c r="H40" s="238"/>
      <c r="I40" s="241"/>
      <c r="J40" s="170"/>
      <c r="K40" s="170"/>
      <c r="L40" s="216">
        <v>860000</v>
      </c>
      <c r="M40" s="21"/>
      <c r="N40" s="22"/>
      <c r="O40" s="22"/>
      <c r="P40" s="22"/>
    </row>
    <row r="41" spans="2:23" s="7" customFormat="1" ht="12.75" x14ac:dyDescent="0.2">
      <c r="B41" s="22"/>
      <c r="C41" s="237" t="s">
        <v>452</v>
      </c>
      <c r="D41" s="238"/>
      <c r="E41" s="238"/>
      <c r="F41" s="238"/>
      <c r="G41" s="238"/>
      <c r="H41" s="238"/>
      <c r="I41" s="241"/>
      <c r="J41" s="170"/>
      <c r="K41" s="170"/>
      <c r="L41" s="216">
        <v>320000</v>
      </c>
      <c r="M41" s="21"/>
      <c r="N41" s="22"/>
      <c r="O41" s="22"/>
      <c r="P41" s="22"/>
    </row>
    <row r="42" spans="2:23" s="7" customFormat="1" ht="12.75" x14ac:dyDescent="0.2">
      <c r="B42" s="22"/>
      <c r="C42" s="237" t="s">
        <v>453</v>
      </c>
      <c r="D42" s="238"/>
      <c r="E42" s="238"/>
      <c r="F42" s="238"/>
      <c r="G42" s="238"/>
      <c r="H42" s="238"/>
      <c r="I42" s="241"/>
      <c r="J42" s="170"/>
      <c r="K42" s="170"/>
      <c r="L42" s="216">
        <v>185000</v>
      </c>
      <c r="M42" s="21"/>
      <c r="N42" s="22"/>
      <c r="O42" s="22"/>
      <c r="P42" s="22"/>
    </row>
    <row r="43" spans="2:23" s="7" customFormat="1" ht="12.75" x14ac:dyDescent="0.2">
      <c r="B43" s="22"/>
      <c r="C43" s="237" t="s">
        <v>32</v>
      </c>
      <c r="D43" s="238"/>
      <c r="E43" s="238"/>
      <c r="F43" s="238"/>
      <c r="G43" s="238"/>
      <c r="H43" s="238"/>
      <c r="I43" s="241"/>
      <c r="J43" s="170"/>
      <c r="K43" s="170"/>
      <c r="L43" s="242">
        <v>2000000</v>
      </c>
      <c r="M43" s="21"/>
      <c r="N43" s="22"/>
      <c r="O43" s="22"/>
      <c r="P43" s="22"/>
    </row>
    <row r="44" spans="2:23" s="7" customFormat="1" ht="12.75" x14ac:dyDescent="0.2">
      <c r="B44" s="22"/>
      <c r="C44" s="160" t="s">
        <v>33</v>
      </c>
      <c r="D44" s="30"/>
      <c r="E44" s="239" t="s">
        <v>34</v>
      </c>
      <c r="F44" s="36">
        <v>220000</v>
      </c>
      <c r="G44" s="239" t="s">
        <v>35</v>
      </c>
      <c r="H44" s="66">
        <v>280000</v>
      </c>
      <c r="I44" s="224"/>
      <c r="J44" s="170"/>
      <c r="K44" s="170"/>
      <c r="L44" s="242">
        <f>+F44+H44</f>
        <v>500000</v>
      </c>
      <c r="M44" s="21"/>
      <c r="N44" s="22"/>
      <c r="O44" s="22"/>
      <c r="P44" s="22"/>
    </row>
    <row r="45" spans="2:23" s="7" customFormat="1" ht="12.75" x14ac:dyDescent="0.2">
      <c r="B45" s="22"/>
      <c r="C45" s="237" t="s">
        <v>36</v>
      </c>
      <c r="D45" s="238"/>
      <c r="E45" s="238"/>
      <c r="F45" s="238"/>
      <c r="G45" s="238"/>
      <c r="H45" s="238"/>
      <c r="I45" s="241"/>
      <c r="J45" s="170"/>
      <c r="K45" s="170"/>
      <c r="L45" s="216">
        <v>140000</v>
      </c>
      <c r="M45" s="21"/>
      <c r="N45" s="22"/>
      <c r="O45" s="22"/>
      <c r="P45" s="22"/>
    </row>
    <row r="46" spans="2:23" s="7" customFormat="1" ht="12.75" x14ac:dyDescent="0.2">
      <c r="B46" s="22"/>
      <c r="C46" s="237" t="s">
        <v>37</v>
      </c>
      <c r="D46" s="238"/>
      <c r="E46" s="238"/>
      <c r="F46" s="238"/>
      <c r="G46" s="238"/>
      <c r="H46" s="238"/>
      <c r="I46" s="241"/>
      <c r="J46" s="170"/>
      <c r="K46" s="170"/>
      <c r="L46" s="216">
        <v>2300000</v>
      </c>
      <c r="M46" s="21"/>
      <c r="N46" s="22"/>
      <c r="O46" s="22"/>
      <c r="P46" s="22"/>
    </row>
    <row r="47" spans="2:23" s="7" customFormat="1" ht="12.75" x14ac:dyDescent="0.2">
      <c r="B47" s="22"/>
      <c r="C47" s="237" t="s">
        <v>38</v>
      </c>
      <c r="D47" s="238"/>
      <c r="E47" s="238"/>
      <c r="F47" s="238"/>
      <c r="G47" s="238"/>
      <c r="H47" s="238"/>
      <c r="I47" s="241"/>
      <c r="J47" s="170"/>
      <c r="K47" s="170"/>
      <c r="L47" s="216">
        <f>+E79</f>
        <v>270000</v>
      </c>
      <c r="M47" s="21"/>
      <c r="N47" s="22"/>
      <c r="O47" s="22"/>
      <c r="P47" s="22"/>
    </row>
    <row r="48" spans="2:23" s="7" customFormat="1" ht="13.5" thickBot="1" x14ac:dyDescent="0.25">
      <c r="B48" s="22"/>
      <c r="C48" s="176" t="s">
        <v>450</v>
      </c>
      <c r="D48" s="177"/>
      <c r="E48" s="177"/>
      <c r="F48" s="177"/>
      <c r="G48" s="177"/>
      <c r="H48" s="177"/>
      <c r="I48" s="178"/>
      <c r="J48" s="179"/>
      <c r="K48" s="179"/>
      <c r="L48" s="229">
        <f>+E72</f>
        <v>16000000</v>
      </c>
      <c r="M48" s="21"/>
      <c r="N48" s="22"/>
      <c r="O48" s="22"/>
      <c r="P48" s="22"/>
    </row>
    <row r="49" spans="1:16" s="63" customFormat="1" ht="15.75" customHeight="1" thickTop="1" x14ac:dyDescent="0.25">
      <c r="B49" s="61"/>
      <c r="C49" s="184" t="s">
        <v>449</v>
      </c>
      <c r="D49" s="164"/>
      <c r="E49" s="165"/>
      <c r="F49" s="165"/>
      <c r="G49" s="165"/>
      <c r="H49" s="165"/>
      <c r="I49" s="175"/>
      <c r="J49" s="185">
        <f>SUM(J35:J48)</f>
        <v>28000000</v>
      </c>
      <c r="K49" s="185">
        <f>SUM(K35:K48)</f>
        <v>4519591</v>
      </c>
      <c r="L49" s="221">
        <f>SUM(L35:L48)</f>
        <v>55776000</v>
      </c>
      <c r="M49" s="62"/>
      <c r="N49" s="61"/>
      <c r="O49" s="61"/>
      <c r="P49" s="61"/>
    </row>
    <row r="50" spans="1:16" s="7" customFormat="1" ht="12.75" x14ac:dyDescent="0.2">
      <c r="B50" s="22"/>
      <c r="C50" s="30"/>
      <c r="D50" s="30"/>
      <c r="E50" s="32"/>
      <c r="F50" s="32"/>
      <c r="G50" s="32"/>
      <c r="H50" s="32"/>
      <c r="I50" s="32"/>
      <c r="J50" s="37"/>
      <c r="K50" s="21"/>
      <c r="L50" s="37"/>
      <c r="M50" s="21"/>
      <c r="N50" s="22"/>
      <c r="O50" s="22"/>
      <c r="P50" s="22"/>
    </row>
    <row r="51" spans="1:16" s="7" customFormat="1" ht="12.75" x14ac:dyDescent="0.2">
      <c r="B51" s="22" t="s">
        <v>39</v>
      </c>
      <c r="C51" s="465" t="s">
        <v>456</v>
      </c>
      <c r="D51" s="465"/>
      <c r="E51" s="465"/>
      <c r="F51" s="465"/>
      <c r="G51" s="465"/>
      <c r="H51" s="465"/>
      <c r="I51" s="38">
        <v>54030000</v>
      </c>
      <c r="J51" s="21"/>
      <c r="K51" s="21"/>
      <c r="L51" s="21"/>
      <c r="M51" s="21"/>
      <c r="N51" s="22"/>
      <c r="O51" s="22"/>
      <c r="P51" s="22"/>
    </row>
    <row r="52" spans="1:16" s="7" customFormat="1" ht="8.25" customHeight="1" x14ac:dyDescent="0.2">
      <c r="B52" s="22"/>
      <c r="C52" s="30"/>
      <c r="D52" s="22"/>
      <c r="E52" s="22"/>
      <c r="F52" s="22"/>
      <c r="G52" s="22"/>
      <c r="H52" s="22"/>
      <c r="I52" s="22"/>
      <c r="J52" s="21"/>
      <c r="K52" s="21"/>
      <c r="L52" s="21"/>
      <c r="M52" s="21"/>
      <c r="N52" s="22"/>
      <c r="O52" s="22"/>
      <c r="P52" s="22"/>
    </row>
    <row r="53" spans="1:16" s="7" customFormat="1" ht="12.75" x14ac:dyDescent="0.2">
      <c r="B53" s="22"/>
      <c r="C53" s="22"/>
      <c r="D53" s="22"/>
      <c r="E53" s="22"/>
      <c r="F53" s="22"/>
      <c r="G53" s="22"/>
      <c r="H53" s="22"/>
      <c r="I53" s="22"/>
      <c r="J53" s="21"/>
      <c r="K53" s="21"/>
      <c r="L53" s="21"/>
      <c r="M53" s="21"/>
      <c r="N53" s="22"/>
      <c r="O53" s="22"/>
      <c r="P53" s="22"/>
    </row>
    <row r="54" spans="1:16" s="7" customFormat="1" ht="12.75" x14ac:dyDescent="0.2">
      <c r="B54" s="22" t="s">
        <v>40</v>
      </c>
      <c r="C54" s="26" t="s">
        <v>457</v>
      </c>
      <c r="D54" s="22"/>
      <c r="E54" s="22"/>
      <c r="F54" s="22"/>
      <c r="G54" s="22"/>
      <c r="H54" s="22"/>
      <c r="I54" s="22"/>
      <c r="J54" s="21"/>
      <c r="K54" s="21"/>
      <c r="L54" s="21"/>
      <c r="M54" s="21"/>
      <c r="N54" s="22"/>
      <c r="O54" s="22"/>
      <c r="P54" s="22"/>
    </row>
    <row r="55" spans="1:16" s="7" customFormat="1" ht="12.75" x14ac:dyDescent="0.2">
      <c r="B55" s="22"/>
      <c r="C55" s="22"/>
      <c r="D55" s="22"/>
      <c r="E55" s="22"/>
      <c r="F55" s="22"/>
      <c r="G55" s="22"/>
      <c r="H55" s="22"/>
      <c r="I55" s="22"/>
      <c r="J55" s="21"/>
      <c r="K55" s="21"/>
      <c r="L55" s="21"/>
      <c r="M55" s="21"/>
      <c r="N55" s="22"/>
      <c r="O55" s="22"/>
      <c r="P55" s="22"/>
    </row>
    <row r="56" spans="1:16" s="7" customFormat="1" ht="12.75" x14ac:dyDescent="0.2">
      <c r="A56" s="302"/>
      <c r="B56" s="245" t="s">
        <v>41</v>
      </c>
      <c r="C56" s="22" t="s">
        <v>495</v>
      </c>
      <c r="D56" s="22"/>
      <c r="E56" s="22"/>
      <c r="F56" s="22"/>
      <c r="G56" s="22"/>
      <c r="H56" s="22"/>
      <c r="I56" s="22"/>
      <c r="J56" s="21"/>
      <c r="K56" s="21"/>
      <c r="L56" s="21"/>
      <c r="M56" s="21"/>
      <c r="N56" s="22"/>
      <c r="O56" s="22"/>
      <c r="P56" s="22"/>
    </row>
    <row r="57" spans="1:16" s="7" customFormat="1" ht="12.75" x14ac:dyDescent="0.2">
      <c r="A57" s="302"/>
      <c r="B57" s="67"/>
      <c r="C57" s="22"/>
      <c r="D57" s="22"/>
      <c r="E57" s="22"/>
      <c r="F57" s="22"/>
      <c r="G57" s="22"/>
      <c r="H57" s="22"/>
      <c r="I57" s="22"/>
      <c r="J57" s="21"/>
      <c r="K57" s="21"/>
      <c r="L57" s="21"/>
      <c r="M57" s="21"/>
      <c r="N57" s="22"/>
      <c r="O57" s="22"/>
      <c r="P57" s="22"/>
    </row>
    <row r="58" spans="1:16" s="7" customFormat="1" ht="12.75" x14ac:dyDescent="0.2">
      <c r="A58" s="302"/>
      <c r="B58" s="67"/>
      <c r="C58" s="22" t="s">
        <v>42</v>
      </c>
      <c r="F58" s="22"/>
      <c r="G58" s="22"/>
      <c r="H58" s="22"/>
      <c r="I58" s="40">
        <v>3.4000000000000002E-2</v>
      </c>
      <c r="K58" s="21"/>
      <c r="L58" s="21"/>
      <c r="M58" s="21"/>
      <c r="N58" s="22"/>
      <c r="O58" s="22"/>
      <c r="P58" s="22"/>
    </row>
    <row r="59" spans="1:16" s="7" customFormat="1" ht="12.75" x14ac:dyDescent="0.2">
      <c r="A59" s="302"/>
      <c r="B59" s="67"/>
      <c r="C59" s="41" t="s">
        <v>454</v>
      </c>
      <c r="F59" s="22"/>
      <c r="G59" s="22"/>
      <c r="H59" s="22"/>
      <c r="I59" s="40">
        <v>3.0000000000000001E-3</v>
      </c>
      <c r="K59" s="21"/>
      <c r="L59" s="21"/>
      <c r="M59" s="21"/>
      <c r="N59" s="22"/>
      <c r="O59" s="22"/>
      <c r="P59" s="22"/>
    </row>
    <row r="60" spans="1:16" s="7" customFormat="1" ht="12.75" x14ac:dyDescent="0.2">
      <c r="A60" s="302"/>
      <c r="B60" s="67"/>
      <c r="C60" s="41" t="s">
        <v>455</v>
      </c>
      <c r="F60" s="23"/>
      <c r="G60" s="22"/>
      <c r="H60" s="22"/>
      <c r="I60" s="40">
        <v>3.0000000000000001E-3</v>
      </c>
      <c r="K60" s="21"/>
      <c r="L60" s="21"/>
      <c r="M60" s="21"/>
      <c r="N60" s="22"/>
      <c r="O60" s="22"/>
      <c r="P60" s="22"/>
    </row>
    <row r="61" spans="1:16" s="7" customFormat="1" ht="12.75" x14ac:dyDescent="0.2">
      <c r="A61" s="302"/>
      <c r="B61" s="67"/>
      <c r="C61" s="22"/>
      <c r="F61" s="22"/>
      <c r="G61" s="22"/>
      <c r="H61" s="22"/>
      <c r="I61" s="22"/>
      <c r="J61" s="22"/>
      <c r="K61" s="21"/>
      <c r="L61" s="21"/>
      <c r="M61" s="21"/>
      <c r="N61" s="22"/>
      <c r="O61" s="22"/>
      <c r="P61" s="22"/>
    </row>
    <row r="62" spans="1:16" s="7" customFormat="1" ht="12.75" x14ac:dyDescent="0.2">
      <c r="A62" s="302"/>
      <c r="B62" s="245" t="s">
        <v>43</v>
      </c>
      <c r="C62" s="22" t="s">
        <v>44</v>
      </c>
      <c r="F62" s="22"/>
      <c r="G62" s="43"/>
      <c r="H62" s="22"/>
      <c r="I62" s="42">
        <v>39727.96</v>
      </c>
      <c r="K62" s="21"/>
      <c r="L62" s="21"/>
      <c r="M62" s="21"/>
      <c r="N62" s="22"/>
      <c r="O62" s="22"/>
      <c r="P62" s="22"/>
    </row>
    <row r="63" spans="1:16" s="7" customFormat="1" ht="12.75" x14ac:dyDescent="0.2">
      <c r="A63" s="302"/>
      <c r="B63" s="245"/>
      <c r="C63" s="22"/>
      <c r="F63" s="22"/>
      <c r="G63" s="22"/>
      <c r="H63" s="22"/>
      <c r="I63" s="22"/>
      <c r="J63" s="22"/>
      <c r="K63" s="21"/>
      <c r="L63" s="21"/>
      <c r="M63" s="21"/>
      <c r="N63" s="22"/>
      <c r="O63" s="22"/>
      <c r="P63" s="22"/>
    </row>
    <row r="64" spans="1:16" s="7" customFormat="1" ht="12.75" x14ac:dyDescent="0.2">
      <c r="A64" s="302"/>
      <c r="B64" s="245" t="s">
        <v>47</v>
      </c>
      <c r="C64" s="22" t="s">
        <v>45</v>
      </c>
      <c r="G64" s="44"/>
      <c r="H64" s="22"/>
      <c r="I64" s="44">
        <v>0.125</v>
      </c>
      <c r="J64" s="45">
        <v>-1</v>
      </c>
      <c r="K64" s="21"/>
      <c r="L64" s="21"/>
      <c r="M64" s="21"/>
      <c r="N64" s="22"/>
      <c r="O64" s="22"/>
      <c r="P64" s="22"/>
    </row>
    <row r="65" spans="1:16" s="7" customFormat="1" ht="12.75" x14ac:dyDescent="0.2">
      <c r="A65" s="302"/>
      <c r="B65" s="245"/>
      <c r="C65" s="22" t="s">
        <v>46</v>
      </c>
      <c r="G65" s="46"/>
      <c r="H65" s="22"/>
      <c r="I65" s="46">
        <v>0.14285700000000001</v>
      </c>
      <c r="J65" s="45">
        <v>-2</v>
      </c>
      <c r="K65" s="21"/>
      <c r="L65" s="21"/>
      <c r="M65" s="21"/>
      <c r="N65" s="22"/>
      <c r="O65" s="22"/>
      <c r="P65" s="22"/>
    </row>
    <row r="66" spans="1:16" s="7" customFormat="1" ht="12.75" x14ac:dyDescent="0.2">
      <c r="A66" s="302"/>
      <c r="B66" s="245"/>
      <c r="C66" s="47"/>
      <c r="F66" s="47"/>
      <c r="G66" s="47"/>
      <c r="H66" s="47"/>
      <c r="I66" s="47"/>
      <c r="J66" s="47"/>
      <c r="K66" s="47"/>
      <c r="L66" s="21"/>
      <c r="M66" s="21"/>
      <c r="N66" s="22"/>
      <c r="O66" s="22"/>
      <c r="P66" s="22"/>
    </row>
    <row r="67" spans="1:16" s="7" customFormat="1" ht="12.75" x14ac:dyDescent="0.2">
      <c r="A67" s="302"/>
      <c r="B67" s="245" t="s">
        <v>548</v>
      </c>
      <c r="C67" s="22" t="s">
        <v>48</v>
      </c>
      <c r="D67" s="22"/>
      <c r="E67" s="22"/>
      <c r="F67" s="22"/>
      <c r="G67" s="22"/>
      <c r="H67" s="22"/>
      <c r="I67" s="22"/>
      <c r="J67" s="21"/>
      <c r="K67" s="21"/>
      <c r="L67" s="21"/>
      <c r="M67" s="21"/>
      <c r="N67" s="22"/>
      <c r="O67" s="22"/>
      <c r="P67" s="22"/>
    </row>
    <row r="68" spans="1:16" s="7" customFormat="1" ht="12.75" x14ac:dyDescent="0.2">
      <c r="A68" s="302"/>
      <c r="B68" s="67"/>
      <c r="C68" s="22"/>
      <c r="D68" s="22"/>
      <c r="E68" s="22"/>
      <c r="F68" s="22"/>
      <c r="G68" s="22"/>
      <c r="H68" s="22"/>
      <c r="I68" s="22"/>
      <c r="J68" s="21"/>
      <c r="K68" s="21"/>
      <c r="L68" s="21"/>
      <c r="M68" s="21"/>
      <c r="N68" s="22"/>
      <c r="O68" s="22"/>
      <c r="P68" s="22"/>
    </row>
    <row r="69" spans="1:16" s="63" customFormat="1" ht="25.5" x14ac:dyDescent="0.25">
      <c r="A69" s="303"/>
      <c r="B69" s="304"/>
      <c r="C69" s="510" t="s">
        <v>460</v>
      </c>
      <c r="D69" s="511"/>
      <c r="E69" s="209" t="s">
        <v>458</v>
      </c>
      <c r="F69" s="209" t="s">
        <v>16</v>
      </c>
      <c r="G69" s="210" t="s">
        <v>459</v>
      </c>
      <c r="H69" s="61"/>
      <c r="I69" s="61"/>
      <c r="J69" s="62"/>
      <c r="K69" s="62"/>
      <c r="L69" s="62"/>
      <c r="M69" s="62"/>
      <c r="N69" s="61"/>
      <c r="O69" s="61"/>
      <c r="P69" s="61"/>
    </row>
    <row r="70" spans="1:16" s="7" customFormat="1" ht="12.75" x14ac:dyDescent="0.2">
      <c r="A70" s="302"/>
      <c r="B70" s="67"/>
      <c r="C70" s="160" t="s">
        <v>49</v>
      </c>
      <c r="D70" s="250" t="s">
        <v>50</v>
      </c>
      <c r="E70" s="216">
        <v>8000000</v>
      </c>
      <c r="F70" s="248">
        <f>1+I59</f>
        <v>1.0029999999999999</v>
      </c>
      <c r="G70" s="216">
        <f>ROUND(+E70*F70,0)</f>
        <v>8024000</v>
      </c>
      <c r="H70" s="22"/>
      <c r="I70" s="22"/>
      <c r="J70" s="21"/>
      <c r="K70" s="21"/>
      <c r="L70" s="21"/>
      <c r="M70" s="21"/>
      <c r="N70" s="22"/>
      <c r="O70" s="22"/>
      <c r="P70" s="22"/>
    </row>
    <row r="71" spans="1:16" s="7" customFormat="1" ht="13.5" thickBot="1" x14ac:dyDescent="0.25">
      <c r="A71" s="302"/>
      <c r="B71" s="67"/>
      <c r="C71" s="176" t="s">
        <v>51</v>
      </c>
      <c r="D71" s="252" t="s">
        <v>52</v>
      </c>
      <c r="E71" s="229">
        <f>+E70</f>
        <v>8000000</v>
      </c>
      <c r="F71" s="253">
        <f>1+I60</f>
        <v>1.0029999999999999</v>
      </c>
      <c r="G71" s="229">
        <f t="shared" ref="G71" si="2">ROUND(+E71*F71,0)</f>
        <v>8024000</v>
      </c>
      <c r="H71" s="22"/>
      <c r="I71" s="22"/>
      <c r="J71" s="21"/>
      <c r="K71" s="21"/>
      <c r="L71" s="21"/>
      <c r="M71" s="21"/>
      <c r="N71" s="22"/>
      <c r="O71" s="22"/>
      <c r="P71" s="22"/>
    </row>
    <row r="72" spans="1:16" s="63" customFormat="1" ht="15.75" customHeight="1" thickTop="1" x14ac:dyDescent="0.25">
      <c r="A72" s="303"/>
      <c r="B72" s="304"/>
      <c r="C72" s="246" t="s">
        <v>461</v>
      </c>
      <c r="D72" s="251"/>
      <c r="E72" s="187">
        <f>SUM(E70:E71)</f>
        <v>16000000</v>
      </c>
      <c r="F72" s="247"/>
      <c r="G72" s="186">
        <f>SUM(G70:G71)</f>
        <v>16048000</v>
      </c>
      <c r="H72" s="61"/>
      <c r="I72" s="61"/>
      <c r="J72" s="62"/>
      <c r="K72" s="62"/>
      <c r="L72" s="62"/>
      <c r="M72" s="62"/>
      <c r="N72" s="61"/>
      <c r="O72" s="61"/>
      <c r="P72" s="61"/>
    </row>
    <row r="73" spans="1:16" s="7" customFormat="1" ht="12.75" x14ac:dyDescent="0.2">
      <c r="A73" s="302"/>
      <c r="B73" s="67"/>
      <c r="C73" s="30"/>
      <c r="D73" s="22"/>
      <c r="E73" s="37"/>
      <c r="F73" s="21"/>
      <c r="G73" s="37"/>
      <c r="H73" s="22"/>
      <c r="I73" s="22"/>
      <c r="J73" s="21"/>
      <c r="K73" s="21"/>
      <c r="L73" s="21"/>
      <c r="M73" s="21"/>
      <c r="N73" s="22"/>
      <c r="O73" s="22"/>
      <c r="P73" s="22"/>
    </row>
    <row r="74" spans="1:16" s="7" customFormat="1" ht="12.75" x14ac:dyDescent="0.2">
      <c r="A74" s="302"/>
      <c r="B74" s="245" t="s">
        <v>549</v>
      </c>
      <c r="C74" s="22" t="s">
        <v>53</v>
      </c>
      <c r="D74" s="22"/>
      <c r="E74" s="21"/>
      <c r="F74" s="21"/>
      <c r="G74" s="21"/>
      <c r="H74" s="22"/>
      <c r="I74" s="22"/>
      <c r="J74" s="21"/>
      <c r="K74" s="21"/>
      <c r="L74" s="21"/>
      <c r="M74" s="21"/>
      <c r="N74" s="22"/>
      <c r="O74" s="22"/>
      <c r="P74" s="22"/>
    </row>
    <row r="75" spans="1:16" s="7" customFormat="1" ht="12.75" x14ac:dyDescent="0.2">
      <c r="A75" s="302"/>
      <c r="B75" s="67"/>
      <c r="C75" s="22"/>
      <c r="D75" s="22"/>
      <c r="E75" s="21"/>
      <c r="F75" s="21"/>
      <c r="G75" s="21"/>
      <c r="H75" s="22"/>
      <c r="I75" s="22"/>
      <c r="J75" s="21"/>
      <c r="K75" s="21"/>
      <c r="L75" s="21"/>
      <c r="M75" s="21"/>
      <c r="N75" s="22"/>
      <c r="O75" s="22"/>
      <c r="P75" s="22"/>
    </row>
    <row r="76" spans="1:16" s="7" customFormat="1" ht="25.5" x14ac:dyDescent="0.2">
      <c r="B76" s="23"/>
      <c r="C76" s="510" t="s">
        <v>462</v>
      </c>
      <c r="D76" s="512"/>
      <c r="E76" s="210" t="s">
        <v>458</v>
      </c>
      <c r="F76" s="209" t="s">
        <v>16</v>
      </c>
      <c r="G76" s="210" t="s">
        <v>459</v>
      </c>
      <c r="H76" s="22"/>
      <c r="I76" s="22"/>
      <c r="J76" s="21"/>
      <c r="K76" s="21"/>
      <c r="L76" s="21"/>
      <c r="M76" s="21"/>
      <c r="N76" s="22"/>
      <c r="O76" s="22"/>
      <c r="P76" s="22"/>
    </row>
    <row r="77" spans="1:16" s="7" customFormat="1" ht="12.75" x14ac:dyDescent="0.2">
      <c r="B77" s="23"/>
      <c r="C77" s="255" t="s">
        <v>54</v>
      </c>
      <c r="D77" s="256"/>
      <c r="E77" s="216">
        <f>+J15*0.25%</f>
        <v>237500</v>
      </c>
      <c r="F77" s="248">
        <f>1+I59</f>
        <v>1.0029999999999999</v>
      </c>
      <c r="G77" s="216">
        <f>ROUND(+E77*F77,0)</f>
        <v>238213</v>
      </c>
      <c r="H77" s="22"/>
      <c r="I77" s="21"/>
      <c r="J77" s="21"/>
      <c r="K77" s="21"/>
      <c r="L77" s="21"/>
      <c r="M77" s="21"/>
      <c r="N77" s="22"/>
      <c r="O77" s="22"/>
      <c r="P77" s="22"/>
    </row>
    <row r="78" spans="1:16" s="7" customFormat="1" ht="12.75" x14ac:dyDescent="0.2">
      <c r="B78" s="22"/>
      <c r="C78" s="203" t="s">
        <v>55</v>
      </c>
      <c r="D78" s="257"/>
      <c r="E78" s="220">
        <f>ROUND((J16+J17)*0.25%,0)</f>
        <v>32500</v>
      </c>
      <c r="F78" s="249">
        <f>1+I60</f>
        <v>1.0029999999999999</v>
      </c>
      <c r="G78" s="220">
        <f>ROUND(+E78*F78,0)</f>
        <v>32598</v>
      </c>
      <c r="H78" s="22"/>
      <c r="I78" s="21"/>
      <c r="J78" s="21"/>
      <c r="K78" s="21"/>
      <c r="L78" s="21"/>
      <c r="M78" s="21"/>
      <c r="N78" s="22"/>
      <c r="O78" s="22"/>
      <c r="P78" s="22"/>
    </row>
    <row r="79" spans="1:16" s="63" customFormat="1" ht="15.75" customHeight="1" x14ac:dyDescent="0.25">
      <c r="B79" s="61"/>
      <c r="C79" s="184" t="s">
        <v>463</v>
      </c>
      <c r="D79" s="258"/>
      <c r="E79" s="221">
        <f>SUM(E77:E78)</f>
        <v>270000</v>
      </c>
      <c r="F79" s="62"/>
      <c r="G79" s="254">
        <f>SUM(G77:G78)</f>
        <v>270811</v>
      </c>
      <c r="H79" s="61"/>
      <c r="I79" s="62"/>
      <c r="J79" s="62"/>
      <c r="K79" s="62"/>
      <c r="L79" s="62"/>
      <c r="M79" s="62"/>
      <c r="N79" s="61"/>
      <c r="O79" s="61"/>
      <c r="P79" s="61"/>
    </row>
    <row r="80" spans="1:16" s="7" customFormat="1" ht="12.75" x14ac:dyDescent="0.2">
      <c r="B80" s="22"/>
      <c r="C80" s="22"/>
      <c r="D80" s="22"/>
      <c r="E80" s="22"/>
      <c r="F80" s="22"/>
      <c r="G80" s="22"/>
      <c r="H80" s="22"/>
      <c r="I80" s="22"/>
      <c r="J80" s="21"/>
      <c r="K80" s="21"/>
      <c r="L80" s="21"/>
      <c r="M80" s="21"/>
      <c r="N80" s="22"/>
      <c r="O80" s="22"/>
      <c r="P80" s="22"/>
    </row>
    <row r="81" spans="1:16" s="7" customFormat="1" ht="12.75" x14ac:dyDescent="0.2">
      <c r="B81" s="23"/>
      <c r="C81" s="513" t="s">
        <v>464</v>
      </c>
      <c r="D81" s="513"/>
      <c r="E81" s="513"/>
      <c r="F81" s="513"/>
      <c r="G81" s="513"/>
      <c r="H81" s="513"/>
      <c r="I81" s="513"/>
      <c r="J81" s="513"/>
      <c r="K81" s="513"/>
      <c r="L81" s="21"/>
      <c r="M81" s="21"/>
      <c r="N81" s="22"/>
      <c r="O81" s="22"/>
      <c r="P81" s="22"/>
    </row>
    <row r="82" spans="1:16" s="7" customFormat="1" ht="25.5" customHeight="1" x14ac:dyDescent="0.2">
      <c r="B82" s="23"/>
      <c r="C82" s="513"/>
      <c r="D82" s="513"/>
      <c r="E82" s="513"/>
      <c r="F82" s="513"/>
      <c r="G82" s="513"/>
      <c r="H82" s="513"/>
      <c r="I82" s="513"/>
      <c r="J82" s="513"/>
      <c r="K82" s="513"/>
      <c r="L82" s="21"/>
      <c r="M82" s="21"/>
      <c r="N82" s="22"/>
      <c r="O82" s="22"/>
      <c r="P82" s="22"/>
    </row>
    <row r="83" spans="1:16" s="7" customFormat="1" ht="14.25" customHeight="1" x14ac:dyDescent="0.2">
      <c r="B83" s="23"/>
      <c r="C83" s="486" t="s">
        <v>465</v>
      </c>
      <c r="D83" s="486"/>
      <c r="E83" s="486"/>
      <c r="F83" s="486"/>
      <c r="G83" s="486"/>
      <c r="H83" s="486"/>
      <c r="I83" s="486"/>
      <c r="J83" s="486"/>
      <c r="K83" s="486"/>
      <c r="L83" s="21"/>
      <c r="M83" s="21"/>
      <c r="N83" s="22"/>
      <c r="O83" s="22"/>
      <c r="P83" s="22"/>
    </row>
    <row r="84" spans="1:16" s="7" customFormat="1" ht="14.25" customHeight="1" x14ac:dyDescent="0.2">
      <c r="B84" s="23"/>
      <c r="C84" s="48"/>
      <c r="D84" s="48"/>
      <c r="E84" s="48"/>
      <c r="F84" s="47"/>
      <c r="G84" s="47"/>
      <c r="H84" s="47"/>
      <c r="I84" s="47"/>
      <c r="J84" s="47"/>
      <c r="K84" s="47"/>
      <c r="L84" s="21"/>
      <c r="M84" s="21"/>
      <c r="N84" s="22"/>
      <c r="O84" s="22"/>
      <c r="P84" s="22"/>
    </row>
    <row r="85" spans="1:16" s="7" customFormat="1" ht="12.75" x14ac:dyDescent="0.2">
      <c r="A85" s="22"/>
      <c r="B85" s="22" t="s">
        <v>56</v>
      </c>
      <c r="C85" s="492" t="s">
        <v>466</v>
      </c>
      <c r="D85" s="492"/>
      <c r="E85" s="492"/>
      <c r="F85" s="492"/>
      <c r="G85" s="492"/>
      <c r="H85" s="492"/>
      <c r="I85" s="492"/>
      <c r="J85" s="492"/>
      <c r="K85" s="21"/>
      <c r="L85" s="21"/>
      <c r="M85" s="21"/>
      <c r="N85" s="22"/>
      <c r="O85" s="22"/>
      <c r="P85" s="22"/>
    </row>
    <row r="86" spans="1:16" s="7" customFormat="1" ht="12.75" x14ac:dyDescent="0.2">
      <c r="A86" s="22"/>
      <c r="B86" s="22"/>
      <c r="C86" s="22"/>
      <c r="D86" s="22"/>
      <c r="E86" s="22"/>
      <c r="F86" s="22"/>
      <c r="G86" s="22"/>
      <c r="H86" s="22"/>
      <c r="I86" s="22"/>
      <c r="J86" s="21"/>
      <c r="K86" s="21"/>
      <c r="L86" s="21"/>
      <c r="M86" s="21"/>
      <c r="N86" s="22"/>
      <c r="O86" s="22"/>
      <c r="P86" s="22"/>
    </row>
    <row r="87" spans="1:16" x14ac:dyDescent="0.25">
      <c r="A87" s="22"/>
      <c r="B87" s="22"/>
      <c r="C87" s="493" t="s">
        <v>438</v>
      </c>
      <c r="D87" s="494"/>
      <c r="E87" s="494"/>
      <c r="F87" s="495"/>
      <c r="G87" s="502" t="s">
        <v>439</v>
      </c>
      <c r="H87" s="505" t="s">
        <v>57</v>
      </c>
      <c r="I87" s="508" t="s">
        <v>58</v>
      </c>
      <c r="J87" s="509"/>
      <c r="K87" s="514" t="s">
        <v>59</v>
      </c>
      <c r="L87" s="514"/>
      <c r="M87" s="514"/>
      <c r="N87" s="514"/>
      <c r="O87" s="514"/>
      <c r="P87" s="515"/>
    </row>
    <row r="88" spans="1:16" ht="38.25" x14ac:dyDescent="0.25">
      <c r="A88" s="22"/>
      <c r="B88" s="22"/>
      <c r="C88" s="496"/>
      <c r="D88" s="497"/>
      <c r="E88" s="497"/>
      <c r="F88" s="498"/>
      <c r="G88" s="503"/>
      <c r="H88" s="506"/>
      <c r="I88" s="516" t="s">
        <v>60</v>
      </c>
      <c r="J88" s="519" t="s">
        <v>467</v>
      </c>
      <c r="K88" s="479" t="s">
        <v>61</v>
      </c>
      <c r="L88" s="480"/>
      <c r="M88" s="480"/>
      <c r="N88" s="481"/>
      <c r="O88" s="259" t="s">
        <v>62</v>
      </c>
      <c r="P88" s="522" t="s">
        <v>63</v>
      </c>
    </row>
    <row r="89" spans="1:16" ht="25.5" x14ac:dyDescent="0.25">
      <c r="A89" s="22"/>
      <c r="B89" s="22"/>
      <c r="C89" s="496"/>
      <c r="D89" s="497"/>
      <c r="E89" s="497"/>
      <c r="F89" s="498"/>
      <c r="G89" s="503"/>
      <c r="H89" s="506"/>
      <c r="I89" s="517"/>
      <c r="J89" s="520"/>
      <c r="K89" s="479" t="s">
        <v>64</v>
      </c>
      <c r="L89" s="480"/>
      <c r="M89" s="481"/>
      <c r="N89" s="482" t="s">
        <v>65</v>
      </c>
      <c r="O89" s="261" t="s">
        <v>64</v>
      </c>
      <c r="P89" s="523"/>
    </row>
    <row r="90" spans="1:16" x14ac:dyDescent="0.25">
      <c r="A90" s="22"/>
      <c r="B90" s="22"/>
      <c r="C90" s="496"/>
      <c r="D90" s="497"/>
      <c r="E90" s="497"/>
      <c r="F90" s="498"/>
      <c r="G90" s="503"/>
      <c r="H90" s="506"/>
      <c r="I90" s="517"/>
      <c r="J90" s="520"/>
      <c r="K90" s="484" t="s">
        <v>16</v>
      </c>
      <c r="L90" s="485"/>
      <c r="M90" s="262">
        <v>0.111111</v>
      </c>
      <c r="N90" s="482"/>
      <c r="O90" s="263">
        <f>TRUNC(O93/P93,6)</f>
        <v>0.228746</v>
      </c>
      <c r="P90" s="523"/>
    </row>
    <row r="91" spans="1:16" ht="25.5" x14ac:dyDescent="0.25">
      <c r="A91" s="22"/>
      <c r="B91" s="22"/>
      <c r="C91" s="496"/>
      <c r="D91" s="497"/>
      <c r="E91" s="497"/>
      <c r="F91" s="498"/>
      <c r="G91" s="503"/>
      <c r="H91" s="506"/>
      <c r="I91" s="517"/>
      <c r="J91" s="520"/>
      <c r="K91" s="479" t="s">
        <v>66</v>
      </c>
      <c r="L91" s="481"/>
      <c r="M91" s="261" t="s">
        <v>67</v>
      </c>
      <c r="N91" s="483"/>
      <c r="O91" s="487" t="s">
        <v>68</v>
      </c>
      <c r="P91" s="523"/>
    </row>
    <row r="92" spans="1:16" ht="25.5" x14ac:dyDescent="0.25">
      <c r="A92" s="22"/>
      <c r="B92" s="22"/>
      <c r="C92" s="499"/>
      <c r="D92" s="500"/>
      <c r="E92" s="500"/>
      <c r="F92" s="501"/>
      <c r="G92" s="504"/>
      <c r="H92" s="507"/>
      <c r="I92" s="518"/>
      <c r="J92" s="521"/>
      <c r="K92" s="261" t="s">
        <v>69</v>
      </c>
      <c r="L92" s="259" t="s">
        <v>68</v>
      </c>
      <c r="M92" s="264" t="s">
        <v>68</v>
      </c>
      <c r="N92" s="264" t="s">
        <v>69</v>
      </c>
      <c r="O92" s="488"/>
      <c r="P92" s="524"/>
    </row>
    <row r="93" spans="1:16" x14ac:dyDescent="0.25">
      <c r="A93" s="22"/>
      <c r="B93" s="22"/>
      <c r="C93" s="489" t="s">
        <v>70</v>
      </c>
      <c r="D93" s="490"/>
      <c r="E93" s="490"/>
      <c r="F93" s="491"/>
      <c r="G93" s="150">
        <f t="shared" ref="G93" si="3">SUM(H93:J93)</f>
        <v>23430000</v>
      </c>
      <c r="H93" s="150">
        <v>23350000</v>
      </c>
      <c r="I93" s="143">
        <f>+Antecedentes!F167</f>
        <v>0</v>
      </c>
      <c r="J93" s="150">
        <v>80000</v>
      </c>
      <c r="K93" s="151">
        <v>0</v>
      </c>
      <c r="L93" s="145">
        <v>1028889</v>
      </c>
      <c r="M93" s="145">
        <v>92466</v>
      </c>
      <c r="N93" s="145">
        <v>0</v>
      </c>
      <c r="O93" s="145">
        <v>34312</v>
      </c>
      <c r="P93" s="145">
        <v>150000</v>
      </c>
    </row>
    <row r="94" spans="1:16" x14ac:dyDescent="0.25">
      <c r="A94" s="22"/>
      <c r="B94" s="22"/>
      <c r="C94" s="22"/>
      <c r="D94" s="22"/>
      <c r="E94" s="22"/>
      <c r="F94" s="22"/>
      <c r="G94" s="22"/>
      <c r="H94" s="22"/>
      <c r="I94" s="22"/>
      <c r="J94" s="21"/>
      <c r="K94" s="21"/>
      <c r="L94" s="21"/>
      <c r="M94" s="21"/>
      <c r="N94" s="22"/>
      <c r="O94" s="22"/>
      <c r="P94" s="22"/>
    </row>
    <row r="95" spans="1:16" x14ac:dyDescent="0.25">
      <c r="A95" s="22"/>
      <c r="B95" s="22"/>
      <c r="C95" s="22"/>
      <c r="D95" s="22"/>
      <c r="E95" s="22"/>
      <c r="F95" s="22"/>
      <c r="G95" s="22"/>
      <c r="H95" s="22"/>
      <c r="I95" s="22"/>
      <c r="J95" s="21"/>
      <c r="K95" s="21"/>
      <c r="L95" s="21"/>
      <c r="M95" s="21"/>
      <c r="N95" s="22"/>
      <c r="O95" s="22"/>
      <c r="P95" s="22"/>
    </row>
    <row r="96" spans="1:16" x14ac:dyDescent="0.25">
      <c r="A96" s="22"/>
      <c r="B96" s="22"/>
      <c r="C96" s="22"/>
      <c r="D96" s="22"/>
      <c r="E96" s="22"/>
      <c r="F96" s="22"/>
      <c r="G96" s="22"/>
      <c r="H96" s="22"/>
      <c r="I96" s="22"/>
      <c r="J96" s="21"/>
      <c r="K96" s="21"/>
      <c r="L96" s="21"/>
      <c r="M96" s="21"/>
      <c r="N96" s="22"/>
      <c r="O96" s="22"/>
      <c r="P96" s="22"/>
    </row>
    <row r="97" spans="2:16" x14ac:dyDescent="0.25">
      <c r="B97" s="22"/>
      <c r="C97" s="22"/>
      <c r="D97" s="22"/>
      <c r="E97" s="22"/>
      <c r="F97" s="22"/>
      <c r="G97" s="22"/>
      <c r="H97" s="22"/>
      <c r="I97" s="22"/>
      <c r="J97" s="21"/>
      <c r="K97" s="21"/>
      <c r="L97" s="21"/>
      <c r="M97" s="21"/>
      <c r="N97" s="22"/>
      <c r="O97" s="22"/>
      <c r="P97" s="22"/>
    </row>
    <row r="98" spans="2:16" x14ac:dyDescent="0.25">
      <c r="B98" s="22"/>
      <c r="C98" s="22"/>
      <c r="D98" s="22"/>
      <c r="E98" s="22"/>
      <c r="F98" s="22"/>
      <c r="G98" s="22"/>
      <c r="H98" s="22"/>
      <c r="I98" s="22"/>
      <c r="J98" s="21"/>
      <c r="K98" s="21"/>
      <c r="L98" s="21"/>
      <c r="M98" s="21"/>
      <c r="N98" s="22"/>
      <c r="O98" s="22"/>
      <c r="P98" s="22"/>
    </row>
    <row r="99" spans="2:16" x14ac:dyDescent="0.25">
      <c r="B99" s="22"/>
      <c r="C99" s="22"/>
      <c r="D99" s="22"/>
      <c r="E99" s="22"/>
      <c r="F99" s="22"/>
      <c r="G99" s="22"/>
      <c r="H99" s="22"/>
      <c r="I99" s="22"/>
      <c r="J99" s="21"/>
      <c r="K99" s="21"/>
      <c r="L99" s="21"/>
      <c r="M99" s="21"/>
      <c r="N99" s="22"/>
      <c r="O99" s="22"/>
      <c r="P99" s="22"/>
    </row>
    <row r="100" spans="2:16" x14ac:dyDescent="0.25">
      <c r="B100" s="22"/>
      <c r="C100" s="22"/>
      <c r="D100" s="22"/>
      <c r="E100" s="22"/>
      <c r="F100" s="22"/>
      <c r="G100" s="22"/>
      <c r="H100" s="22"/>
      <c r="I100" s="22"/>
      <c r="J100" s="21"/>
      <c r="K100" s="21"/>
      <c r="L100" s="21"/>
      <c r="M100" s="21"/>
      <c r="N100" s="22"/>
      <c r="O100" s="22"/>
      <c r="P100" s="22"/>
    </row>
    <row r="101" spans="2:16" x14ac:dyDescent="0.25">
      <c r="B101" s="22"/>
      <c r="C101" s="22"/>
      <c r="D101" s="22"/>
      <c r="E101" s="22"/>
      <c r="F101" s="22"/>
      <c r="G101" s="22"/>
      <c r="H101" s="22"/>
      <c r="I101" s="22"/>
      <c r="J101" s="21"/>
      <c r="K101" s="21"/>
      <c r="L101" s="21"/>
      <c r="M101" s="21"/>
      <c r="N101" s="22"/>
      <c r="O101" s="22"/>
      <c r="P101" s="22"/>
    </row>
    <row r="102" spans="2:16" x14ac:dyDescent="0.25">
      <c r="B102" s="22"/>
      <c r="C102" s="22"/>
      <c r="D102" s="22"/>
      <c r="E102" s="22"/>
      <c r="F102" s="22"/>
      <c r="G102" s="22"/>
      <c r="H102" s="22"/>
      <c r="I102" s="22"/>
      <c r="J102" s="21"/>
      <c r="K102" s="21"/>
      <c r="L102" s="21"/>
      <c r="M102" s="21"/>
      <c r="N102" s="22"/>
      <c r="O102" s="22"/>
      <c r="P102" s="22"/>
    </row>
    <row r="103" spans="2:16" x14ac:dyDescent="0.25">
      <c r="B103" s="22"/>
      <c r="C103" s="22"/>
      <c r="D103" s="22"/>
      <c r="E103" s="22"/>
      <c r="F103" s="22"/>
      <c r="G103" s="22"/>
      <c r="H103" s="22"/>
      <c r="I103" s="22"/>
      <c r="J103" s="21"/>
      <c r="K103" s="21"/>
      <c r="L103" s="21"/>
      <c r="M103" s="21"/>
      <c r="N103" s="22"/>
      <c r="O103" s="22"/>
      <c r="P103" s="22"/>
    </row>
    <row r="104" spans="2:16" x14ac:dyDescent="0.25">
      <c r="B104" s="22"/>
      <c r="C104" s="22"/>
      <c r="D104" s="22"/>
      <c r="E104" s="22"/>
      <c r="F104" s="22"/>
      <c r="G104" s="22"/>
      <c r="H104" s="22"/>
      <c r="I104" s="22"/>
      <c r="J104" s="21"/>
      <c r="K104" s="21"/>
      <c r="L104" s="21"/>
      <c r="M104" s="21"/>
      <c r="N104" s="22"/>
      <c r="O104" s="22"/>
      <c r="P104" s="22"/>
    </row>
    <row r="105" spans="2:16" x14ac:dyDescent="0.25">
      <c r="B105" s="22"/>
      <c r="C105" s="22"/>
      <c r="D105" s="22"/>
      <c r="E105" s="22"/>
      <c r="F105" s="22"/>
      <c r="G105" s="22"/>
      <c r="H105" s="22"/>
      <c r="I105" s="22"/>
      <c r="J105" s="21"/>
      <c r="K105" s="21"/>
      <c r="L105" s="21"/>
      <c r="M105" s="21"/>
      <c r="N105" s="22"/>
      <c r="O105" s="22"/>
      <c r="P105" s="22"/>
    </row>
    <row r="106" spans="2:16" x14ac:dyDescent="0.25">
      <c r="B106" s="22"/>
      <c r="C106" s="22"/>
      <c r="D106" s="22"/>
      <c r="E106" s="22"/>
      <c r="F106" s="22"/>
      <c r="G106" s="22"/>
      <c r="H106" s="22"/>
      <c r="I106" s="22"/>
      <c r="J106" s="21"/>
      <c r="K106" s="21"/>
      <c r="L106" s="21"/>
      <c r="M106" s="21"/>
      <c r="N106" s="22"/>
      <c r="O106" s="22"/>
      <c r="P106" s="22"/>
    </row>
    <row r="107" spans="2:16" x14ac:dyDescent="0.25">
      <c r="B107" s="22"/>
      <c r="C107" s="22"/>
      <c r="D107" s="22"/>
      <c r="E107" s="22"/>
      <c r="F107" s="22"/>
      <c r="G107" s="22"/>
      <c r="H107" s="22"/>
      <c r="I107" s="22"/>
      <c r="J107" s="21"/>
      <c r="K107" s="21"/>
      <c r="L107" s="21"/>
      <c r="M107" s="21"/>
      <c r="N107" s="22"/>
      <c r="O107" s="22"/>
      <c r="P107" s="22"/>
    </row>
    <row r="108" spans="2:16" x14ac:dyDescent="0.25">
      <c r="B108" s="22"/>
      <c r="C108" s="22"/>
      <c r="D108" s="22"/>
      <c r="E108" s="22"/>
      <c r="F108" s="22"/>
      <c r="G108" s="22"/>
      <c r="H108" s="22"/>
      <c r="I108" s="22"/>
      <c r="J108" s="21"/>
      <c r="K108" s="21"/>
      <c r="L108" s="21"/>
      <c r="M108" s="21"/>
      <c r="N108" s="22"/>
      <c r="O108" s="22"/>
      <c r="P108" s="22"/>
    </row>
  </sheetData>
  <mergeCells count="35">
    <mergeCell ref="C51:H51"/>
    <mergeCell ref="O91:O92"/>
    <mergeCell ref="C93:F93"/>
    <mergeCell ref="C85:J85"/>
    <mergeCell ref="C87:F92"/>
    <mergeCell ref="G87:G92"/>
    <mergeCell ref="H87:H92"/>
    <mergeCell ref="I87:J87"/>
    <mergeCell ref="C69:D69"/>
    <mergeCell ref="C76:D76"/>
    <mergeCell ref="C81:K82"/>
    <mergeCell ref="K87:P87"/>
    <mergeCell ref="I88:I92"/>
    <mergeCell ref="J88:J92"/>
    <mergeCell ref="K88:N88"/>
    <mergeCell ref="P88:P92"/>
    <mergeCell ref="K89:M89"/>
    <mergeCell ref="N89:N91"/>
    <mergeCell ref="K90:L90"/>
    <mergeCell ref="K91:L91"/>
    <mergeCell ref="C83:K83"/>
    <mergeCell ref="U35:W37"/>
    <mergeCell ref="C11:L11"/>
    <mergeCell ref="B3:B4"/>
    <mergeCell ref="C6:L6"/>
    <mergeCell ref="C3:L4"/>
    <mergeCell ref="C34:D34"/>
    <mergeCell ref="C15:I15"/>
    <mergeCell ref="C16:I16"/>
    <mergeCell ref="C17:I17"/>
    <mergeCell ref="C18:I18"/>
    <mergeCell ref="H24:I24"/>
    <mergeCell ref="H25:I25"/>
    <mergeCell ref="H26:I26"/>
    <mergeCell ref="H27:I27"/>
  </mergeCells>
  <phoneticPr fontId="17" type="noConversion"/>
  <pageMargins left="0.70866141732283472" right="0.70866141732283472" top="0.47244094488188981" bottom="0.47244094488188981" header="0.31496062992125984" footer="0.31496062992125984"/>
  <pageSetup scale="50" orientation="landscape" r:id="rId1"/>
  <drawing r:id="rId2"/>
  <extLst>
    <ext xmlns:mx="http://schemas.microsoft.com/office/mac/excel/2008/main" uri="http://schemas.microsoft.com/office/mac/excel/2008/main">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5CDD5-E092-4B02-86EF-F12452BDE3F7}">
  <dimension ref="B2:Q20"/>
  <sheetViews>
    <sheetView showGridLines="0" zoomScale="90" zoomScaleNormal="90" workbookViewId="0"/>
  </sheetViews>
  <sheetFormatPr baseColWidth="10" defaultColWidth="11.42578125" defaultRowHeight="12.75" x14ac:dyDescent="0.2"/>
  <cols>
    <col min="1" max="1" width="4.5703125" style="75" customWidth="1"/>
    <col min="2" max="2" width="59.7109375" style="75" bestFit="1" customWidth="1"/>
    <col min="3" max="3" width="6.28515625" style="75" customWidth="1"/>
    <col min="4" max="4" width="14.140625" style="75" customWidth="1"/>
    <col min="5" max="5" width="6.7109375" style="75" customWidth="1"/>
    <col min="6" max="6" width="14.140625" style="75" customWidth="1"/>
    <col min="7" max="7" width="7.5703125" style="75" customWidth="1"/>
    <col min="8" max="8" width="14.140625" style="75" customWidth="1"/>
    <col min="9" max="9" width="7.140625" style="75" customWidth="1"/>
    <col min="10" max="10" width="14.140625" style="75" customWidth="1"/>
    <col min="11" max="11" width="6.28515625" style="75" customWidth="1"/>
    <col min="12" max="12" width="14.140625" style="75" customWidth="1"/>
    <col min="13" max="13" width="6.7109375" style="75" customWidth="1"/>
    <col min="14" max="14" width="14.140625" style="75" customWidth="1"/>
    <col min="15" max="15" width="5.42578125" style="75" customWidth="1"/>
    <col min="16" max="16" width="14.140625" style="75" customWidth="1"/>
    <col min="17" max="17" width="3.28515625" style="75" bestFit="1" customWidth="1"/>
    <col min="18" max="16384" width="11.42578125" style="75"/>
  </cols>
  <sheetData>
    <row r="2" spans="2:17" ht="24.75" customHeight="1" x14ac:dyDescent="0.2">
      <c r="B2" s="574" t="s">
        <v>165</v>
      </c>
      <c r="C2" s="574"/>
      <c r="D2" s="574"/>
      <c r="E2" s="574"/>
      <c r="F2" s="574"/>
      <c r="G2" s="574"/>
      <c r="H2" s="574"/>
      <c r="I2" s="574"/>
      <c r="J2" s="574"/>
      <c r="K2" s="574"/>
      <c r="L2" s="574"/>
      <c r="M2" s="574"/>
      <c r="N2" s="574"/>
      <c r="O2" s="574"/>
      <c r="P2" s="574"/>
      <c r="Q2" s="574"/>
    </row>
    <row r="3" spans="2:17" x14ac:dyDescent="0.2">
      <c r="B3" s="433"/>
      <c r="C3" s="573" t="s">
        <v>57</v>
      </c>
      <c r="D3" s="573"/>
      <c r="E3" s="573" t="s">
        <v>58</v>
      </c>
      <c r="F3" s="573"/>
      <c r="G3" s="573"/>
      <c r="H3" s="573"/>
      <c r="I3" s="573"/>
      <c r="J3" s="573"/>
      <c r="K3" s="573"/>
      <c r="L3" s="573"/>
      <c r="M3" s="573"/>
      <c r="N3" s="573"/>
      <c r="O3" s="573" t="s">
        <v>63</v>
      </c>
      <c r="P3" s="573"/>
      <c r="Q3" s="433"/>
    </row>
    <row r="4" spans="2:17" ht="15" customHeight="1" x14ac:dyDescent="0.2">
      <c r="B4" s="436"/>
      <c r="C4" s="573"/>
      <c r="D4" s="573"/>
      <c r="E4" s="573" t="s">
        <v>166</v>
      </c>
      <c r="F4" s="573"/>
      <c r="G4" s="573"/>
      <c r="H4" s="573"/>
      <c r="I4" s="573"/>
      <c r="J4" s="573"/>
      <c r="K4" s="573" t="s">
        <v>167</v>
      </c>
      <c r="L4" s="573"/>
      <c r="M4" s="573" t="s">
        <v>168</v>
      </c>
      <c r="N4" s="573"/>
      <c r="O4" s="573"/>
      <c r="P4" s="573"/>
      <c r="Q4" s="436"/>
    </row>
    <row r="5" spans="2:17" ht="37.5" customHeight="1" x14ac:dyDescent="0.2">
      <c r="B5" s="435"/>
      <c r="C5" s="573"/>
      <c r="D5" s="573"/>
      <c r="E5" s="573" t="s">
        <v>169</v>
      </c>
      <c r="F5" s="573"/>
      <c r="G5" s="573" t="s">
        <v>170</v>
      </c>
      <c r="H5" s="573"/>
      <c r="I5" s="573" t="s">
        <v>171</v>
      </c>
      <c r="J5" s="573"/>
      <c r="K5" s="573"/>
      <c r="L5" s="573"/>
      <c r="M5" s="573"/>
      <c r="N5" s="573"/>
      <c r="O5" s="573"/>
      <c r="P5" s="573"/>
      <c r="Q5" s="435"/>
    </row>
    <row r="6" spans="2:17" ht="18" customHeight="1" x14ac:dyDescent="0.2">
      <c r="B6" s="409" t="s">
        <v>172</v>
      </c>
      <c r="C6" s="429">
        <v>1451</v>
      </c>
      <c r="D6" s="428">
        <f>RTRE!G9</f>
        <v>23350000</v>
      </c>
      <c r="E6" s="429">
        <v>1452</v>
      </c>
      <c r="F6" s="428"/>
      <c r="G6" s="429">
        <v>1752</v>
      </c>
      <c r="H6" s="428"/>
      <c r="I6" s="429">
        <v>1753</v>
      </c>
      <c r="J6" s="428"/>
      <c r="K6" s="429">
        <v>1453</v>
      </c>
      <c r="L6" s="428"/>
      <c r="M6" s="429">
        <v>1454</v>
      </c>
      <c r="N6" s="428">
        <f>RTRE!I9</f>
        <v>80000</v>
      </c>
      <c r="O6" s="429">
        <v>1382</v>
      </c>
      <c r="P6" s="428">
        <f>RTRE!O9</f>
        <v>150000</v>
      </c>
      <c r="Q6" s="429" t="s">
        <v>76</v>
      </c>
    </row>
    <row r="7" spans="2:17" ht="18" customHeight="1" x14ac:dyDescent="0.2">
      <c r="B7" s="409" t="s">
        <v>173</v>
      </c>
      <c r="C7" s="431"/>
      <c r="D7" s="430"/>
      <c r="E7" s="429">
        <v>1589</v>
      </c>
      <c r="F7" s="428"/>
      <c r="G7" s="431"/>
      <c r="H7" s="430"/>
      <c r="I7" s="429">
        <v>1845</v>
      </c>
      <c r="J7" s="428"/>
      <c r="K7" s="429">
        <v>1455</v>
      </c>
      <c r="L7" s="428"/>
      <c r="M7" s="429">
        <v>1456</v>
      </c>
      <c r="N7" s="428"/>
      <c r="O7" s="431"/>
      <c r="P7" s="430"/>
      <c r="Q7" s="429" t="s">
        <v>82</v>
      </c>
    </row>
    <row r="8" spans="2:17" ht="18" customHeight="1" x14ac:dyDescent="0.2">
      <c r="B8" s="409" t="s">
        <v>174</v>
      </c>
      <c r="C8" s="429">
        <v>1942</v>
      </c>
      <c r="D8" s="428"/>
      <c r="E8" s="431"/>
      <c r="F8" s="430"/>
      <c r="G8" s="429">
        <v>1943</v>
      </c>
      <c r="H8" s="428"/>
      <c r="I8" s="431"/>
      <c r="J8" s="430"/>
      <c r="K8" s="431"/>
      <c r="L8" s="430"/>
      <c r="M8" s="431"/>
      <c r="N8" s="430"/>
      <c r="O8" s="429">
        <v>1944</v>
      </c>
      <c r="P8" s="428"/>
      <c r="Q8" s="429" t="s">
        <v>175</v>
      </c>
    </row>
    <row r="9" spans="2:17" ht="18" customHeight="1" x14ac:dyDescent="0.2">
      <c r="B9" s="409" t="s">
        <v>176</v>
      </c>
      <c r="C9" s="429">
        <v>1392</v>
      </c>
      <c r="D9" s="428"/>
      <c r="E9" s="429">
        <v>1393</v>
      </c>
      <c r="F9" s="428"/>
      <c r="G9" s="429">
        <v>1755</v>
      </c>
      <c r="H9" s="428"/>
      <c r="I9" s="429">
        <v>1756</v>
      </c>
      <c r="J9" s="428"/>
      <c r="K9" s="429">
        <v>1394</v>
      </c>
      <c r="L9" s="428"/>
      <c r="M9" s="429">
        <v>1395</v>
      </c>
      <c r="N9" s="428"/>
      <c r="O9" s="429">
        <v>1384</v>
      </c>
      <c r="P9" s="428"/>
      <c r="Q9" s="429" t="s">
        <v>76</v>
      </c>
    </row>
    <row r="10" spans="2:17" ht="18" customHeight="1" x14ac:dyDescent="0.2">
      <c r="B10" s="409" t="s">
        <v>177</v>
      </c>
      <c r="C10" s="429">
        <v>1396</v>
      </c>
      <c r="D10" s="428"/>
      <c r="E10" s="429">
        <v>1397</v>
      </c>
      <c r="F10" s="428"/>
      <c r="G10" s="429">
        <v>1757</v>
      </c>
      <c r="H10" s="428"/>
      <c r="I10" s="429">
        <v>1758</v>
      </c>
      <c r="J10" s="428"/>
      <c r="K10" s="429">
        <v>1398</v>
      </c>
      <c r="L10" s="428"/>
      <c r="M10" s="429">
        <v>1399</v>
      </c>
      <c r="N10" s="428"/>
      <c r="O10" s="429">
        <v>1385</v>
      </c>
      <c r="P10" s="428"/>
      <c r="Q10" s="429" t="s">
        <v>82</v>
      </c>
    </row>
    <row r="11" spans="2:17" ht="18" customHeight="1" x14ac:dyDescent="0.2">
      <c r="B11" s="409" t="s">
        <v>178</v>
      </c>
      <c r="C11" s="429">
        <v>1459</v>
      </c>
      <c r="D11" s="437">
        <f>-RTRE!G10</f>
        <v>23350000</v>
      </c>
      <c r="E11" s="429">
        <v>1460</v>
      </c>
      <c r="F11" s="428"/>
      <c r="G11" s="429">
        <v>1759</v>
      </c>
      <c r="H11" s="428"/>
      <c r="I11" s="429">
        <v>1760</v>
      </c>
      <c r="J11" s="428"/>
      <c r="K11" s="429">
        <v>1461</v>
      </c>
      <c r="L11" s="428"/>
      <c r="M11" s="429">
        <v>1462</v>
      </c>
      <c r="N11" s="428"/>
      <c r="O11" s="429">
        <v>1386</v>
      </c>
      <c r="P11" s="428"/>
      <c r="Q11" s="429" t="s">
        <v>82</v>
      </c>
    </row>
    <row r="12" spans="2:17" ht="18" customHeight="1" x14ac:dyDescent="0.2">
      <c r="B12" s="409" t="s">
        <v>179</v>
      </c>
      <c r="C12" s="429">
        <v>1463</v>
      </c>
      <c r="D12" s="437">
        <f>RTRE!G11</f>
        <v>101972808</v>
      </c>
      <c r="E12" s="431"/>
      <c r="F12" s="430"/>
      <c r="G12" s="431"/>
      <c r="H12" s="430"/>
      <c r="I12" s="429">
        <v>1762</v>
      </c>
      <c r="J12" s="428"/>
      <c r="K12" s="429">
        <v>1465</v>
      </c>
      <c r="L12" s="428"/>
      <c r="M12" s="429">
        <v>1466</v>
      </c>
      <c r="N12" s="428"/>
      <c r="O12" s="431"/>
      <c r="P12" s="434"/>
      <c r="Q12" s="429" t="s">
        <v>76</v>
      </c>
    </row>
    <row r="13" spans="2:17" ht="18" customHeight="1" x14ac:dyDescent="0.2">
      <c r="B13" s="409" t="s">
        <v>180</v>
      </c>
      <c r="C13" s="429">
        <v>1467</v>
      </c>
      <c r="D13" s="428"/>
      <c r="E13" s="429">
        <v>1468</v>
      </c>
      <c r="F13" s="428"/>
      <c r="G13" s="429">
        <v>1763</v>
      </c>
      <c r="H13" s="428"/>
      <c r="I13" s="429">
        <v>1764</v>
      </c>
      <c r="J13" s="428"/>
      <c r="K13" s="429">
        <v>1469</v>
      </c>
      <c r="L13" s="428"/>
      <c r="M13" s="429">
        <v>1470</v>
      </c>
      <c r="N13" s="437">
        <f>RTRE!I12</f>
        <v>80000</v>
      </c>
      <c r="O13" s="429">
        <v>1387</v>
      </c>
      <c r="P13" s="428">
        <f>RTRE!O14</f>
        <v>160000</v>
      </c>
      <c r="Q13" s="429" t="s">
        <v>76</v>
      </c>
    </row>
    <row r="14" spans="2:17" ht="18" customHeight="1" x14ac:dyDescent="0.2">
      <c r="B14" s="409" t="s">
        <v>181</v>
      </c>
      <c r="C14" s="429">
        <v>1471</v>
      </c>
      <c r="D14" s="428"/>
      <c r="E14" s="429">
        <v>1472</v>
      </c>
      <c r="F14" s="428"/>
      <c r="G14" s="429">
        <v>1765</v>
      </c>
      <c r="H14" s="428"/>
      <c r="I14" s="429">
        <v>1766</v>
      </c>
      <c r="J14" s="428"/>
      <c r="K14" s="429">
        <v>1473</v>
      </c>
      <c r="L14" s="428"/>
      <c r="M14" s="429">
        <v>1474</v>
      </c>
      <c r="N14" s="428"/>
      <c r="O14" s="429">
        <v>1388</v>
      </c>
      <c r="P14" s="428"/>
      <c r="Q14" s="429" t="s">
        <v>82</v>
      </c>
    </row>
    <row r="15" spans="2:17" ht="18" customHeight="1" x14ac:dyDescent="0.2">
      <c r="B15" s="409" t="s">
        <v>182</v>
      </c>
      <c r="C15" s="429">
        <v>1475</v>
      </c>
      <c r="D15" s="428">
        <f>-(RTRE!G17+RTRE!G20)</f>
        <v>16000000</v>
      </c>
      <c r="E15" s="429">
        <v>1476</v>
      </c>
      <c r="F15" s="428"/>
      <c r="G15" s="429">
        <v>1767</v>
      </c>
      <c r="H15" s="428"/>
      <c r="I15" s="429">
        <v>1768</v>
      </c>
      <c r="J15" s="428"/>
      <c r="K15" s="429">
        <v>1477</v>
      </c>
      <c r="L15" s="428"/>
      <c r="M15" s="429">
        <v>1478</v>
      </c>
      <c r="N15" s="428"/>
      <c r="O15" s="429">
        <v>1389</v>
      </c>
      <c r="P15" s="428"/>
      <c r="Q15" s="429" t="s">
        <v>82</v>
      </c>
    </row>
    <row r="16" spans="2:17" ht="18" customHeight="1" x14ac:dyDescent="0.2">
      <c r="B16" s="409" t="s">
        <v>183</v>
      </c>
      <c r="C16" s="429">
        <v>1480</v>
      </c>
      <c r="D16" s="428"/>
      <c r="E16" s="429">
        <v>1481</v>
      </c>
      <c r="F16" s="428"/>
      <c r="G16" s="429">
        <v>1769</v>
      </c>
      <c r="H16" s="428"/>
      <c r="I16" s="429">
        <v>1770</v>
      </c>
      <c r="J16" s="428"/>
      <c r="K16" s="429">
        <v>1482</v>
      </c>
      <c r="L16" s="428"/>
      <c r="M16" s="429">
        <v>1483</v>
      </c>
      <c r="N16" s="428"/>
      <c r="O16" s="429">
        <v>1390</v>
      </c>
      <c r="P16" s="428"/>
      <c r="Q16" s="429" t="s">
        <v>82</v>
      </c>
    </row>
    <row r="17" spans="2:17" ht="18" customHeight="1" x14ac:dyDescent="0.2">
      <c r="B17" s="409" t="s">
        <v>184</v>
      </c>
      <c r="C17" s="429">
        <v>1484</v>
      </c>
      <c r="D17" s="428">
        <f>D6-D11+D12-D15</f>
        <v>85972808</v>
      </c>
      <c r="E17" s="429">
        <v>1485</v>
      </c>
      <c r="F17" s="428"/>
      <c r="G17" s="429">
        <v>1771</v>
      </c>
      <c r="H17" s="428"/>
      <c r="I17" s="429">
        <v>1772</v>
      </c>
      <c r="J17" s="428"/>
      <c r="K17" s="429">
        <v>1486</v>
      </c>
      <c r="L17" s="428"/>
      <c r="M17" s="429">
        <v>1487</v>
      </c>
      <c r="N17" s="428">
        <f>N6-N11+N12+N13-N15</f>
        <v>160000</v>
      </c>
      <c r="O17" s="429">
        <v>1391</v>
      </c>
      <c r="P17" s="428">
        <f>P6-P11+P12+P13-P15</f>
        <v>310000</v>
      </c>
      <c r="Q17" s="429" t="s">
        <v>79</v>
      </c>
    </row>
    <row r="18" spans="2:17" ht="18" customHeight="1" x14ac:dyDescent="0.2">
      <c r="B18" s="409" t="s">
        <v>185</v>
      </c>
      <c r="C18" s="432"/>
      <c r="D18" s="430"/>
      <c r="E18" s="429">
        <v>1489</v>
      </c>
      <c r="F18" s="428"/>
      <c r="G18" s="432"/>
      <c r="H18" s="430"/>
      <c r="I18" s="429">
        <v>1846</v>
      </c>
      <c r="J18" s="428"/>
      <c r="K18" s="429">
        <v>1490</v>
      </c>
      <c r="L18" s="428"/>
      <c r="M18" s="429">
        <v>1491</v>
      </c>
      <c r="N18" s="428"/>
      <c r="O18" s="432"/>
      <c r="P18" s="430"/>
      <c r="Q18" s="429" t="s">
        <v>79</v>
      </c>
    </row>
    <row r="20" spans="2:17" x14ac:dyDescent="0.2">
      <c r="D20" s="77"/>
    </row>
  </sheetData>
  <mergeCells count="10">
    <mergeCell ref="O3:P5"/>
    <mergeCell ref="C3:D5"/>
    <mergeCell ref="B2:Q2"/>
    <mergeCell ref="E3:N3"/>
    <mergeCell ref="E4:J4"/>
    <mergeCell ref="E5:F5"/>
    <mergeCell ref="G5:H5"/>
    <mergeCell ref="I5:J5"/>
    <mergeCell ref="K4:L5"/>
    <mergeCell ref="M4:N5"/>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30038-D75C-4D94-B6E9-D62FE12178B5}">
  <dimension ref="B2:S19"/>
  <sheetViews>
    <sheetView showGridLines="0" zoomScale="90" zoomScaleNormal="90" workbookViewId="0"/>
  </sheetViews>
  <sheetFormatPr baseColWidth="10" defaultColWidth="11.42578125" defaultRowHeight="12.75" x14ac:dyDescent="0.2"/>
  <cols>
    <col min="1" max="1" width="5.28515625" style="75" customWidth="1"/>
    <col min="2" max="2" width="60.85546875" style="75" customWidth="1"/>
    <col min="3" max="3" width="5.5703125" style="75" bestFit="1" customWidth="1"/>
    <col min="4" max="4" width="12.85546875" style="75" customWidth="1"/>
    <col min="5" max="5" width="5.5703125" style="75" bestFit="1" customWidth="1"/>
    <col min="6" max="6" width="12.85546875" style="75" customWidth="1"/>
    <col min="7" max="7" width="5.5703125" style="75" bestFit="1" customWidth="1"/>
    <col min="8" max="8" width="12.85546875" style="75" customWidth="1"/>
    <col min="9" max="9" width="5.5703125" style="75" bestFit="1" customWidth="1"/>
    <col min="10" max="10" width="12.85546875" style="75" customWidth="1"/>
    <col min="11" max="11" width="5.5703125" style="75" bestFit="1" customWidth="1"/>
    <col min="12" max="12" width="12.85546875" style="75" customWidth="1"/>
    <col min="13" max="13" width="5.5703125" style="75" bestFit="1" customWidth="1"/>
    <col min="14" max="14" width="12.85546875" style="75" customWidth="1"/>
    <col min="15" max="15" width="5.5703125" style="75" bestFit="1" customWidth="1"/>
    <col min="16" max="16" width="12.85546875" style="75" customWidth="1"/>
    <col min="17" max="17" width="5.5703125" style="75" bestFit="1" customWidth="1"/>
    <col min="18" max="18" width="12.85546875" style="75" customWidth="1"/>
    <col min="19" max="19" width="2.140625" style="75" bestFit="1" customWidth="1"/>
    <col min="20" max="16384" width="11.42578125" style="75"/>
  </cols>
  <sheetData>
    <row r="2" spans="2:19" ht="24.75" customHeight="1" x14ac:dyDescent="0.2">
      <c r="B2" s="574" t="s">
        <v>186</v>
      </c>
      <c r="C2" s="574"/>
      <c r="D2" s="574"/>
      <c r="E2" s="574"/>
      <c r="F2" s="574"/>
      <c r="G2" s="574"/>
      <c r="H2" s="574"/>
      <c r="I2" s="574"/>
      <c r="J2" s="574"/>
      <c r="K2" s="574"/>
      <c r="L2" s="574"/>
      <c r="M2" s="574"/>
      <c r="N2" s="574"/>
      <c r="O2" s="574"/>
      <c r="P2" s="574"/>
      <c r="Q2" s="574"/>
      <c r="R2" s="574"/>
      <c r="S2" s="574"/>
    </row>
    <row r="3" spans="2:19" ht="15" customHeight="1" x14ac:dyDescent="0.2">
      <c r="B3" s="439"/>
      <c r="C3" s="575" t="s">
        <v>187</v>
      </c>
      <c r="D3" s="575"/>
      <c r="E3" s="575"/>
      <c r="F3" s="575"/>
      <c r="G3" s="575"/>
      <c r="H3" s="575"/>
      <c r="I3" s="575"/>
      <c r="J3" s="575"/>
      <c r="K3" s="575"/>
      <c r="L3" s="575"/>
      <c r="M3" s="575" t="s">
        <v>188</v>
      </c>
      <c r="N3" s="575"/>
      <c r="O3" s="575"/>
      <c r="P3" s="575"/>
      <c r="Q3" s="575"/>
      <c r="R3" s="575"/>
      <c r="S3" s="439"/>
    </row>
    <row r="4" spans="2:19" ht="15" customHeight="1" x14ac:dyDescent="0.2">
      <c r="B4" s="440"/>
      <c r="C4" s="575" t="s">
        <v>189</v>
      </c>
      <c r="D4" s="575"/>
      <c r="E4" s="575"/>
      <c r="F4" s="575"/>
      <c r="G4" s="575" t="s">
        <v>67</v>
      </c>
      <c r="H4" s="575"/>
      <c r="I4" s="575"/>
      <c r="J4" s="575"/>
      <c r="K4" s="575" t="s">
        <v>190</v>
      </c>
      <c r="L4" s="575"/>
      <c r="M4" s="575" t="s">
        <v>191</v>
      </c>
      <c r="N4" s="575"/>
      <c r="O4" s="575" t="s">
        <v>192</v>
      </c>
      <c r="P4" s="575"/>
      <c r="Q4" s="575" t="s">
        <v>190</v>
      </c>
      <c r="R4" s="575"/>
      <c r="S4" s="440"/>
    </row>
    <row r="5" spans="2:19" ht="17.25" customHeight="1" x14ac:dyDescent="0.2">
      <c r="B5" s="441"/>
      <c r="C5" s="575" t="s">
        <v>191</v>
      </c>
      <c r="D5" s="575"/>
      <c r="E5" s="575" t="s">
        <v>192</v>
      </c>
      <c r="F5" s="575"/>
      <c r="G5" s="575" t="s">
        <v>191</v>
      </c>
      <c r="H5" s="575"/>
      <c r="I5" s="575" t="s">
        <v>192</v>
      </c>
      <c r="J5" s="575"/>
      <c r="K5" s="575"/>
      <c r="L5" s="575"/>
      <c r="M5" s="575"/>
      <c r="N5" s="575"/>
      <c r="O5" s="575"/>
      <c r="P5" s="575"/>
      <c r="Q5" s="575"/>
      <c r="R5" s="575"/>
      <c r="S5" s="441"/>
    </row>
    <row r="6" spans="2:19" s="79" customFormat="1" ht="18" customHeight="1" x14ac:dyDescent="0.25">
      <c r="B6" s="410" t="s">
        <v>172</v>
      </c>
      <c r="C6" s="438">
        <v>1495</v>
      </c>
      <c r="D6" s="428"/>
      <c r="E6" s="438">
        <v>1496</v>
      </c>
      <c r="F6" s="428">
        <f>RTRE!K9</f>
        <v>1028889</v>
      </c>
      <c r="G6" s="438">
        <v>1497</v>
      </c>
      <c r="H6" s="428"/>
      <c r="I6" s="438">
        <v>1498</v>
      </c>
      <c r="J6" s="428">
        <f>RTRE!L9</f>
        <v>92466</v>
      </c>
      <c r="K6" s="438">
        <v>1499</v>
      </c>
      <c r="L6" s="428"/>
      <c r="M6" s="438">
        <v>1501</v>
      </c>
      <c r="N6" s="428"/>
      <c r="O6" s="438">
        <v>1502</v>
      </c>
      <c r="P6" s="428">
        <f>RTRE!N9</f>
        <v>34312</v>
      </c>
      <c r="Q6" s="438">
        <v>1503</v>
      </c>
      <c r="R6" s="428"/>
      <c r="S6" s="438" t="s">
        <v>76</v>
      </c>
    </row>
    <row r="7" spans="2:19" s="79" customFormat="1" ht="18" customHeight="1" x14ac:dyDescent="0.25">
      <c r="B7" s="410" t="s">
        <v>173</v>
      </c>
      <c r="C7" s="438">
        <v>1655</v>
      </c>
      <c r="D7" s="428"/>
      <c r="E7" s="438">
        <v>1656</v>
      </c>
      <c r="F7" s="428"/>
      <c r="G7" s="438">
        <v>1504</v>
      </c>
      <c r="H7" s="428"/>
      <c r="I7" s="438">
        <v>1505</v>
      </c>
      <c r="J7" s="428"/>
      <c r="K7" s="432"/>
      <c r="L7" s="430"/>
      <c r="M7" s="432"/>
      <c r="N7" s="430"/>
      <c r="O7" s="432"/>
      <c r="P7" s="430"/>
      <c r="Q7" s="432"/>
      <c r="R7" s="430"/>
      <c r="S7" s="442" t="s">
        <v>82</v>
      </c>
    </row>
    <row r="8" spans="2:19" s="79" customFormat="1" ht="18" customHeight="1" x14ac:dyDescent="0.25">
      <c r="B8" s="410" t="s">
        <v>193</v>
      </c>
      <c r="C8" s="438">
        <v>1945</v>
      </c>
      <c r="D8" s="428"/>
      <c r="E8" s="438">
        <v>1946</v>
      </c>
      <c r="F8" s="428"/>
      <c r="G8" s="438">
        <v>1947</v>
      </c>
      <c r="H8" s="428"/>
      <c r="I8" s="438">
        <v>1948</v>
      </c>
      <c r="J8" s="428"/>
      <c r="K8" s="432"/>
      <c r="L8" s="430"/>
      <c r="M8" s="438">
        <v>1949</v>
      </c>
      <c r="N8" s="428"/>
      <c r="O8" s="438">
        <v>1950</v>
      </c>
      <c r="P8" s="428"/>
      <c r="Q8" s="432"/>
      <c r="R8" s="430"/>
      <c r="S8" s="442" t="s">
        <v>82</v>
      </c>
    </row>
    <row r="9" spans="2:19" s="79" customFormat="1" ht="18" customHeight="1" x14ac:dyDescent="0.25">
      <c r="B9" s="410" t="s">
        <v>176</v>
      </c>
      <c r="C9" s="438">
        <v>1590</v>
      </c>
      <c r="D9" s="428"/>
      <c r="E9" s="438">
        <v>1436</v>
      </c>
      <c r="F9" s="428"/>
      <c r="G9" s="438">
        <v>1437</v>
      </c>
      <c r="H9" s="428"/>
      <c r="I9" s="438">
        <v>1438</v>
      </c>
      <c r="J9" s="428"/>
      <c r="K9" s="438">
        <v>1439</v>
      </c>
      <c r="L9" s="428"/>
      <c r="M9" s="438">
        <v>1441</v>
      </c>
      <c r="N9" s="428"/>
      <c r="O9" s="438">
        <v>1442</v>
      </c>
      <c r="P9" s="428"/>
      <c r="Q9" s="438">
        <v>1443</v>
      </c>
      <c r="R9" s="428"/>
      <c r="S9" s="442" t="s">
        <v>76</v>
      </c>
    </row>
    <row r="10" spans="2:19" s="79" customFormat="1" ht="18" customHeight="1" x14ac:dyDescent="0.25">
      <c r="B10" s="410" t="s">
        <v>177</v>
      </c>
      <c r="C10" s="438">
        <v>1444</v>
      </c>
      <c r="D10" s="428"/>
      <c r="E10" s="438">
        <v>1447</v>
      </c>
      <c r="F10" s="428"/>
      <c r="G10" s="438">
        <v>1448</v>
      </c>
      <c r="H10" s="428"/>
      <c r="I10" s="438">
        <v>1449</v>
      </c>
      <c r="J10" s="428"/>
      <c r="K10" s="438">
        <v>1508</v>
      </c>
      <c r="L10" s="428"/>
      <c r="M10" s="438">
        <v>1509</v>
      </c>
      <c r="N10" s="428"/>
      <c r="O10" s="438">
        <v>1510</v>
      </c>
      <c r="P10" s="428"/>
      <c r="Q10" s="438">
        <v>1511</v>
      </c>
      <c r="R10" s="428"/>
      <c r="S10" s="442" t="s">
        <v>82</v>
      </c>
    </row>
    <row r="11" spans="2:19" s="79" customFormat="1" ht="18" customHeight="1" x14ac:dyDescent="0.25">
      <c r="B11" s="410" t="s">
        <v>194</v>
      </c>
      <c r="C11" s="438">
        <v>1512</v>
      </c>
      <c r="D11" s="428">
        <f>RTRE!J13</f>
        <v>1481232</v>
      </c>
      <c r="E11" s="438">
        <v>1513</v>
      </c>
      <c r="F11" s="428">
        <f>RTRE!K13</f>
        <v>4871568</v>
      </c>
      <c r="G11" s="432"/>
      <c r="H11" s="430"/>
      <c r="I11" s="432"/>
      <c r="J11" s="430"/>
      <c r="K11" s="438">
        <v>1514</v>
      </c>
      <c r="L11" s="428">
        <f>RTRE!M13</f>
        <v>2781987</v>
      </c>
      <c r="M11" s="432"/>
      <c r="N11" s="430"/>
      <c r="O11" s="432"/>
      <c r="P11" s="430"/>
      <c r="Q11" s="432"/>
      <c r="R11" s="430"/>
      <c r="S11" s="442" t="s">
        <v>76</v>
      </c>
    </row>
    <row r="12" spans="2:19" s="79" customFormat="1" ht="18" customHeight="1" x14ac:dyDescent="0.25">
      <c r="B12" s="410" t="s">
        <v>195</v>
      </c>
      <c r="C12" s="438">
        <v>1515</v>
      </c>
      <c r="D12" s="428"/>
      <c r="E12" s="438">
        <v>1516</v>
      </c>
      <c r="F12" s="428">
        <f>RTRE!K14</f>
        <v>28571</v>
      </c>
      <c r="G12" s="438">
        <v>1517</v>
      </c>
      <c r="H12" s="428"/>
      <c r="I12" s="438">
        <v>1518</v>
      </c>
      <c r="J12" s="428">
        <f>RTRE!L14</f>
        <v>92466</v>
      </c>
      <c r="K12" s="438">
        <v>1519</v>
      </c>
      <c r="L12" s="428"/>
      <c r="M12" s="438">
        <v>1520</v>
      </c>
      <c r="N12" s="428"/>
      <c r="O12" s="438">
        <v>1521</v>
      </c>
      <c r="P12" s="428">
        <f>RTRE!N14</f>
        <v>36600</v>
      </c>
      <c r="Q12" s="438">
        <v>1522</v>
      </c>
      <c r="R12" s="428"/>
      <c r="S12" s="442" t="s">
        <v>76</v>
      </c>
    </row>
    <row r="13" spans="2:19" s="79" customFormat="1" ht="18" customHeight="1" x14ac:dyDescent="0.25">
      <c r="B13" s="410" t="s">
        <v>180</v>
      </c>
      <c r="C13" s="438">
        <v>1523</v>
      </c>
      <c r="D13" s="428"/>
      <c r="E13" s="438">
        <v>1524</v>
      </c>
      <c r="F13" s="428"/>
      <c r="G13" s="438">
        <v>1525</v>
      </c>
      <c r="H13" s="428"/>
      <c r="I13" s="438">
        <v>1526</v>
      </c>
      <c r="J13" s="428"/>
      <c r="K13" s="438">
        <v>1527</v>
      </c>
      <c r="L13" s="428"/>
      <c r="M13" s="438">
        <v>1528</v>
      </c>
      <c r="N13" s="428"/>
      <c r="O13" s="438">
        <v>1529</v>
      </c>
      <c r="P13" s="428"/>
      <c r="Q13" s="438">
        <v>1530</v>
      </c>
      <c r="R13" s="428"/>
      <c r="S13" s="442" t="s">
        <v>76</v>
      </c>
    </row>
    <row r="14" spans="2:19" s="79" customFormat="1" ht="18" customHeight="1" x14ac:dyDescent="0.25">
      <c r="B14" s="410" t="s">
        <v>181</v>
      </c>
      <c r="C14" s="438">
        <v>1531</v>
      </c>
      <c r="D14" s="428"/>
      <c r="E14" s="438">
        <v>1532</v>
      </c>
      <c r="F14" s="428"/>
      <c r="G14" s="438">
        <v>1533</v>
      </c>
      <c r="H14" s="428"/>
      <c r="I14" s="438">
        <v>1534</v>
      </c>
      <c r="J14" s="428"/>
      <c r="K14" s="438">
        <v>1535</v>
      </c>
      <c r="L14" s="428"/>
      <c r="M14" s="438">
        <v>1536</v>
      </c>
      <c r="N14" s="428"/>
      <c r="O14" s="438">
        <v>1537</v>
      </c>
      <c r="P14" s="428"/>
      <c r="Q14" s="438">
        <v>1538</v>
      </c>
      <c r="R14" s="428"/>
      <c r="S14" s="442" t="s">
        <v>82</v>
      </c>
    </row>
    <row r="15" spans="2:19" s="79" customFormat="1" ht="18" customHeight="1" x14ac:dyDescent="0.25">
      <c r="B15" s="410" t="s">
        <v>196</v>
      </c>
      <c r="C15" s="438">
        <v>1539</v>
      </c>
      <c r="D15" s="428">
        <f>-RTRE!J17</f>
        <v>1481232</v>
      </c>
      <c r="E15" s="438">
        <v>1540</v>
      </c>
      <c r="F15" s="428">
        <f>-(RTRE!K17+RTRE!K20)</f>
        <v>1201906.032967</v>
      </c>
      <c r="G15" s="438">
        <v>1541</v>
      </c>
      <c r="H15" s="428"/>
      <c r="I15" s="438">
        <v>1542</v>
      </c>
      <c r="J15" s="428"/>
      <c r="K15" s="438">
        <v>1543</v>
      </c>
      <c r="L15" s="428">
        <f>-(RTRE!M17+RTRE!M20)</f>
        <v>2781987</v>
      </c>
      <c r="M15" s="438">
        <v>1544</v>
      </c>
      <c r="N15" s="428"/>
      <c r="O15" s="438">
        <v>1547</v>
      </c>
      <c r="P15" s="428"/>
      <c r="Q15" s="438">
        <v>1548</v>
      </c>
      <c r="R15" s="428"/>
      <c r="S15" s="442" t="s">
        <v>82</v>
      </c>
    </row>
    <row r="16" spans="2:19" s="79" customFormat="1" ht="24" customHeight="1" x14ac:dyDescent="0.25">
      <c r="B16" s="410" t="s">
        <v>197</v>
      </c>
      <c r="C16" s="438">
        <v>1549</v>
      </c>
      <c r="D16" s="428"/>
      <c r="E16" s="438">
        <v>1550</v>
      </c>
      <c r="F16" s="428"/>
      <c r="G16" s="438">
        <v>1551</v>
      </c>
      <c r="H16" s="428"/>
      <c r="I16" s="438">
        <v>1552</v>
      </c>
      <c r="J16" s="428"/>
      <c r="K16" s="438">
        <v>1553</v>
      </c>
      <c r="L16" s="428"/>
      <c r="M16" s="438">
        <v>1554</v>
      </c>
      <c r="N16" s="428"/>
      <c r="O16" s="438">
        <v>1555</v>
      </c>
      <c r="P16" s="428"/>
      <c r="Q16" s="438">
        <v>1556</v>
      </c>
      <c r="R16" s="428"/>
      <c r="S16" s="442" t="s">
        <v>82</v>
      </c>
    </row>
    <row r="17" spans="2:19" s="79" customFormat="1" ht="26.25" customHeight="1" x14ac:dyDescent="0.25">
      <c r="B17" s="410" t="s">
        <v>198</v>
      </c>
      <c r="C17" s="438">
        <v>1557</v>
      </c>
      <c r="D17" s="428"/>
      <c r="E17" s="438">
        <v>1558</v>
      </c>
      <c r="F17" s="428">
        <f>-RTRE!K21</f>
        <v>20000</v>
      </c>
      <c r="G17" s="432"/>
      <c r="H17" s="430"/>
      <c r="I17" s="432"/>
      <c r="J17" s="430"/>
      <c r="K17" s="438">
        <v>1559</v>
      </c>
      <c r="L17" s="428"/>
      <c r="M17" s="438">
        <v>1560</v>
      </c>
      <c r="N17" s="428"/>
      <c r="O17" s="438">
        <v>1561</v>
      </c>
      <c r="P17" s="428"/>
      <c r="Q17" s="438">
        <v>1562</v>
      </c>
      <c r="R17" s="428"/>
      <c r="S17" s="442" t="s">
        <v>82</v>
      </c>
    </row>
    <row r="18" spans="2:19" s="79" customFormat="1" ht="18" customHeight="1" x14ac:dyDescent="0.25">
      <c r="B18" s="410" t="s">
        <v>184</v>
      </c>
      <c r="C18" s="438">
        <v>1563</v>
      </c>
      <c r="D18" s="428">
        <f>D6+D11+D12-D15</f>
        <v>0</v>
      </c>
      <c r="E18" s="438">
        <v>1564</v>
      </c>
      <c r="F18" s="428">
        <f>F6+F11+F12-F15-F17</f>
        <v>4707121.9670329997</v>
      </c>
      <c r="G18" s="438">
        <v>1565</v>
      </c>
      <c r="H18" s="428"/>
      <c r="I18" s="438">
        <v>1566</v>
      </c>
      <c r="J18" s="428">
        <f>J6+J11+J12-J15</f>
        <v>184932</v>
      </c>
      <c r="K18" s="438">
        <v>1567</v>
      </c>
      <c r="L18" s="428">
        <f>L6+L11+L12-L15</f>
        <v>0</v>
      </c>
      <c r="M18" s="438">
        <v>1568</v>
      </c>
      <c r="N18" s="428"/>
      <c r="O18" s="438">
        <v>1569</v>
      </c>
      <c r="P18" s="428">
        <f>P6+P11+P12-P15</f>
        <v>70912</v>
      </c>
      <c r="Q18" s="438">
        <v>1570</v>
      </c>
      <c r="R18" s="428"/>
      <c r="S18" s="442" t="s">
        <v>79</v>
      </c>
    </row>
    <row r="19" spans="2:19" s="79" customFormat="1" ht="18" customHeight="1" x14ac:dyDescent="0.25">
      <c r="B19" s="410" t="s">
        <v>199</v>
      </c>
      <c r="C19" s="438">
        <v>1368</v>
      </c>
      <c r="D19" s="428"/>
      <c r="E19" s="438">
        <v>1371</v>
      </c>
      <c r="F19" s="428"/>
      <c r="G19" s="438">
        <v>1571</v>
      </c>
      <c r="H19" s="428"/>
      <c r="I19" s="438">
        <v>1572</v>
      </c>
      <c r="J19" s="428"/>
      <c r="K19" s="432"/>
      <c r="L19" s="430"/>
      <c r="M19" s="432"/>
      <c r="N19" s="430"/>
      <c r="O19" s="432"/>
      <c r="P19" s="430"/>
      <c r="Q19" s="432"/>
      <c r="R19" s="430"/>
      <c r="S19" s="442" t="s">
        <v>79</v>
      </c>
    </row>
  </sheetData>
  <mergeCells count="13">
    <mergeCell ref="B2:S2"/>
    <mergeCell ref="C3:L3"/>
    <mergeCell ref="C4:F4"/>
    <mergeCell ref="G4:J4"/>
    <mergeCell ref="C5:D5"/>
    <mergeCell ref="E5:F5"/>
    <mergeCell ref="G5:H5"/>
    <mergeCell ref="I5:J5"/>
    <mergeCell ref="K4:L5"/>
    <mergeCell ref="M3:R3"/>
    <mergeCell ref="M4:N5"/>
    <mergeCell ref="O4:P5"/>
    <mergeCell ref="Q4:R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dimension ref="B1:K12"/>
  <sheetViews>
    <sheetView showGridLines="0" zoomScale="90" zoomScaleNormal="90" zoomScalePageLayoutView="120" workbookViewId="0"/>
  </sheetViews>
  <sheetFormatPr baseColWidth="10" defaultColWidth="8.85546875" defaultRowHeight="12.75" x14ac:dyDescent="0.2"/>
  <cols>
    <col min="1" max="1" width="2.42578125" style="75" customWidth="1"/>
    <col min="2" max="2" width="24.140625" style="75" bestFit="1" customWidth="1"/>
    <col min="3" max="3" width="13" style="75" customWidth="1"/>
    <col min="4" max="4" width="21" style="75" customWidth="1"/>
    <col min="5" max="5" width="13.140625" style="75" customWidth="1"/>
    <col min="6" max="6" width="0.28515625" style="75" customWidth="1"/>
    <col min="7" max="7" width="15.7109375" style="75" customWidth="1"/>
    <col min="8" max="8" width="15.85546875" style="75" customWidth="1"/>
    <col min="9" max="9" width="12.5703125" style="75" customWidth="1"/>
    <col min="10" max="10" width="12.85546875" style="75" customWidth="1"/>
    <col min="11" max="11" width="9.42578125" style="75" bestFit="1" customWidth="1"/>
    <col min="12" max="16384" width="8.85546875" style="75"/>
  </cols>
  <sheetData>
    <row r="1" spans="2:11" ht="15" customHeight="1" x14ac:dyDescent="0.2"/>
    <row r="2" spans="2:11" s="79" customFormat="1" ht="17.25" customHeight="1" x14ac:dyDescent="0.25">
      <c r="B2" s="459" t="s">
        <v>538</v>
      </c>
      <c r="C2" s="581"/>
      <c r="D2" s="579" t="s">
        <v>539</v>
      </c>
      <c r="E2" s="580"/>
      <c r="F2" s="78"/>
      <c r="G2" s="576" t="s">
        <v>540</v>
      </c>
      <c r="H2" s="577"/>
      <c r="I2" s="577"/>
      <c r="J2" s="578"/>
    </row>
    <row r="3" spans="2:11" ht="36.75" customHeight="1" x14ac:dyDescent="0.2">
      <c r="B3" s="541" t="s">
        <v>542</v>
      </c>
      <c r="C3" s="543"/>
      <c r="D3" s="209" t="s">
        <v>545</v>
      </c>
      <c r="E3" s="210" t="s">
        <v>543</v>
      </c>
      <c r="F3" s="30"/>
      <c r="G3" s="209" t="s">
        <v>201</v>
      </c>
      <c r="H3" s="209" t="s">
        <v>202</v>
      </c>
      <c r="I3" s="209" t="s">
        <v>65</v>
      </c>
      <c r="J3" s="210" t="s">
        <v>543</v>
      </c>
    </row>
    <row r="4" spans="2:11" s="79" customFormat="1" ht="15.75" customHeight="1" x14ac:dyDescent="0.25">
      <c r="B4" s="443" t="s">
        <v>49</v>
      </c>
      <c r="C4" s="444" t="s">
        <v>50</v>
      </c>
      <c r="D4" s="446">
        <f>-RTRE!G17</f>
        <v>8000000</v>
      </c>
      <c r="E4" s="445">
        <f>SUM(D4:D4)</f>
        <v>8000000</v>
      </c>
      <c r="F4" s="78"/>
      <c r="G4" s="446">
        <f>-RTRE!J17</f>
        <v>1481232</v>
      </c>
      <c r="H4" s="446">
        <f>-RTRE!K17</f>
        <v>57228.032967000036</v>
      </c>
      <c r="I4" s="446">
        <f>-RTRE!M17</f>
        <v>2769231</v>
      </c>
      <c r="J4" s="445">
        <f>SUM(G4:I4)</f>
        <v>4307691.0329670003</v>
      </c>
    </row>
    <row r="5" spans="2:11" s="79" customFormat="1" ht="15.75" customHeight="1" thickBot="1" x14ac:dyDescent="0.3">
      <c r="B5" s="448" t="s">
        <v>51</v>
      </c>
      <c r="C5" s="449" t="s">
        <v>52</v>
      </c>
      <c r="D5" s="450">
        <f>-RTRE!G20</f>
        <v>8000000</v>
      </c>
      <c r="E5" s="451">
        <f>SUM(D5:D5)</f>
        <v>8000000</v>
      </c>
      <c r="F5" s="78"/>
      <c r="G5" s="450">
        <f>-RTRE!J20</f>
        <v>0</v>
      </c>
      <c r="H5" s="450">
        <f>-RTRE!K20</f>
        <v>1144678</v>
      </c>
      <c r="I5" s="450">
        <f>-RTRE!M20</f>
        <v>12756</v>
      </c>
      <c r="J5" s="451">
        <f>SUM(G5:I5)</f>
        <v>1157434</v>
      </c>
    </row>
    <row r="6" spans="2:11" s="79" customFormat="1" ht="18" customHeight="1" thickTop="1" x14ac:dyDescent="0.25">
      <c r="B6" s="184" t="s">
        <v>461</v>
      </c>
      <c r="C6" s="258"/>
      <c r="D6" s="185">
        <f>SUM(D4:D5)</f>
        <v>16000000</v>
      </c>
      <c r="E6" s="221">
        <f>SUM(E4:E5)</f>
        <v>16000000</v>
      </c>
      <c r="F6" s="78"/>
      <c r="G6" s="185">
        <f>SUM(G4:G5)</f>
        <v>1481232</v>
      </c>
      <c r="H6" s="185">
        <f>SUM(H4:H5)</f>
        <v>1201906.032967</v>
      </c>
      <c r="I6" s="185">
        <f t="shared" ref="I6" si="0">SUM(I4:I5)</f>
        <v>2781987</v>
      </c>
      <c r="J6" s="221">
        <f>SUM(J4:J5)</f>
        <v>5465125.0329670003</v>
      </c>
      <c r="K6" s="80"/>
    </row>
    <row r="7" spans="2:11" x14ac:dyDescent="0.2">
      <c r="B7" s="30"/>
      <c r="C7" s="30"/>
      <c r="D7" s="30"/>
      <c r="E7" s="30"/>
      <c r="F7" s="30"/>
      <c r="G7" s="30"/>
      <c r="H7" s="30"/>
      <c r="I7" s="30"/>
      <c r="J7" s="30"/>
    </row>
    <row r="8" spans="2:11" s="79" customFormat="1" ht="20.25" customHeight="1" x14ac:dyDescent="0.25">
      <c r="B8" s="459" t="s">
        <v>541</v>
      </c>
      <c r="C8" s="581"/>
      <c r="D8" s="579" t="s">
        <v>539</v>
      </c>
      <c r="E8" s="580"/>
      <c r="F8" s="78"/>
      <c r="G8" s="576" t="s">
        <v>540</v>
      </c>
      <c r="H8" s="577"/>
      <c r="I8" s="577"/>
      <c r="J8" s="578"/>
    </row>
    <row r="9" spans="2:11" ht="38.25" x14ac:dyDescent="0.2">
      <c r="B9" s="541" t="s">
        <v>542</v>
      </c>
      <c r="C9" s="543"/>
      <c r="D9" s="209" t="s">
        <v>545</v>
      </c>
      <c r="E9" s="210" t="s">
        <v>544</v>
      </c>
      <c r="F9" s="30"/>
      <c r="G9" s="209" t="s">
        <v>201</v>
      </c>
      <c r="H9" s="209" t="s">
        <v>202</v>
      </c>
      <c r="I9" s="209" t="s">
        <v>65</v>
      </c>
      <c r="J9" s="210" t="s">
        <v>544</v>
      </c>
    </row>
    <row r="10" spans="2:11" s="79" customFormat="1" ht="16.5" customHeight="1" x14ac:dyDescent="0.25">
      <c r="B10" s="443" t="s">
        <v>49</v>
      </c>
      <c r="C10" s="447">
        <v>1.0029999999999999</v>
      </c>
      <c r="D10" s="446">
        <f>ROUND(+D4*C10,0)</f>
        <v>8024000</v>
      </c>
      <c r="E10" s="445">
        <f>SUM(D10:D10)</f>
        <v>8024000</v>
      </c>
      <c r="F10" s="78"/>
      <c r="G10" s="446">
        <f>ROUND(+G4*C10,0)</f>
        <v>1485676</v>
      </c>
      <c r="H10" s="446">
        <f>ROUND(+H4*C10,0)</f>
        <v>57400</v>
      </c>
      <c r="I10" s="446">
        <f>ROUND(+I4*C10,0)</f>
        <v>2777539</v>
      </c>
      <c r="J10" s="445">
        <f>SUM(G10:I10)</f>
        <v>4320615</v>
      </c>
    </row>
    <row r="11" spans="2:11" s="79" customFormat="1" ht="16.5" customHeight="1" thickBot="1" x14ac:dyDescent="0.3">
      <c r="B11" s="448" t="s">
        <v>51</v>
      </c>
      <c r="C11" s="452">
        <v>1.0029999999999999</v>
      </c>
      <c r="D11" s="450">
        <f>ROUND(+D5*C11,0)</f>
        <v>8024000</v>
      </c>
      <c r="E11" s="451">
        <f>SUM(D11:D11)</f>
        <v>8024000</v>
      </c>
      <c r="F11" s="78"/>
      <c r="G11" s="450">
        <f>ROUND(+G5*C11,0)</f>
        <v>0</v>
      </c>
      <c r="H11" s="450">
        <f>ROUND(+H5*C11,0)</f>
        <v>1148112</v>
      </c>
      <c r="I11" s="450">
        <f>ROUND(+I5*C11,0)</f>
        <v>12794</v>
      </c>
      <c r="J11" s="451">
        <f>SUM(G11:I11)</f>
        <v>1160906</v>
      </c>
    </row>
    <row r="12" spans="2:11" s="79" customFormat="1" ht="19.5" customHeight="1" thickTop="1" x14ac:dyDescent="0.25">
      <c r="B12" s="184" t="s">
        <v>461</v>
      </c>
      <c r="C12" s="258"/>
      <c r="D12" s="185">
        <f>SUM(D10:D11)</f>
        <v>16048000</v>
      </c>
      <c r="E12" s="221">
        <f>SUM(E10:E11)</f>
        <v>16048000</v>
      </c>
      <c r="F12" s="78"/>
      <c r="G12" s="185">
        <f>SUM(G10:G11)</f>
        <v>1485676</v>
      </c>
      <c r="H12" s="185">
        <f>SUM(H10:H11)</f>
        <v>1205512</v>
      </c>
      <c r="I12" s="185">
        <f>SUM(I10:I11)</f>
        <v>2790333</v>
      </c>
      <c r="J12" s="221">
        <f>SUM(J10:J11)</f>
        <v>5481521</v>
      </c>
    </row>
  </sheetData>
  <mergeCells count="8">
    <mergeCell ref="G2:J2"/>
    <mergeCell ref="G8:J8"/>
    <mergeCell ref="D8:E8"/>
    <mergeCell ref="B9:C9"/>
    <mergeCell ref="B8:C8"/>
    <mergeCell ref="B2:C2"/>
    <mergeCell ref="B3:C3"/>
    <mergeCell ref="D2:E2"/>
  </mergeCells>
  <phoneticPr fontId="17" type="noConversion"/>
  <pageMargins left="0.70866141732283472" right="0.70866141732283472" top="0.74803149606299213" bottom="0.74803149606299213" header="0.31496062992125984" footer="0.31496062992125984"/>
  <drawing r:id="rId1"/>
  <extLst>
    <ext xmlns:mx="http://schemas.microsoft.com/office/mac/excel/2008/main" uri="http://schemas.microsoft.com/office/mac/excel/2008/main">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FF866-36C9-4600-976C-3AB3D0C85215}">
  <dimension ref="B2:GM49"/>
  <sheetViews>
    <sheetView showGridLines="0" zoomScale="80" zoomScaleNormal="80" workbookViewId="0"/>
  </sheetViews>
  <sheetFormatPr baseColWidth="10" defaultColWidth="11.42578125" defaultRowHeight="15" x14ac:dyDescent="0.25"/>
  <cols>
    <col min="1" max="1" width="4.85546875" style="81" customWidth="1"/>
    <col min="2" max="2" width="16.140625" style="81" customWidth="1"/>
    <col min="3" max="3" width="16.7109375" style="81" customWidth="1"/>
    <col min="4" max="4" width="18.7109375" style="81" customWidth="1"/>
    <col min="5" max="5" width="13.28515625" style="81" customWidth="1"/>
    <col min="6" max="6" width="12.85546875" style="81" customWidth="1"/>
    <col min="7" max="7" width="15.85546875" style="81" customWidth="1"/>
    <col min="8" max="8" width="17.140625" style="81" customWidth="1"/>
    <col min="9" max="9" width="15.7109375" style="81" customWidth="1"/>
    <col min="10" max="10" width="23.42578125" style="81" customWidth="1"/>
    <col min="11" max="11" width="22.85546875" style="81" customWidth="1"/>
    <col min="12" max="12" width="19.42578125" style="81" customWidth="1"/>
    <col min="13" max="13" width="15.7109375" style="81" customWidth="1"/>
    <col min="14" max="14" width="25.85546875" style="81" customWidth="1"/>
    <col min="15" max="16" width="18.7109375" style="81" customWidth="1"/>
    <col min="17" max="17" width="15.85546875" style="81" customWidth="1"/>
    <col min="18" max="18" width="16.42578125" style="81" customWidth="1"/>
    <col min="19" max="19" width="15.28515625" style="81" customWidth="1"/>
    <col min="20" max="20" width="16.42578125" style="81" customWidth="1"/>
    <col min="21" max="21" width="15.28515625" style="81" customWidth="1"/>
    <col min="22" max="26" width="15" style="81" customWidth="1"/>
    <col min="27" max="27" width="16.5703125" style="81" customWidth="1"/>
    <col min="28" max="31" width="13.5703125" style="81" customWidth="1"/>
    <col min="32" max="32" width="17.28515625" style="81" customWidth="1"/>
    <col min="33" max="33" width="12.5703125" style="81" customWidth="1"/>
    <col min="34" max="34" width="13.28515625" style="81" customWidth="1"/>
    <col min="35" max="35" width="11.5703125" style="81" customWidth="1"/>
    <col min="36" max="36" width="12.28515625" style="81" customWidth="1"/>
    <col min="37" max="37" width="14.42578125" style="81" customWidth="1"/>
    <col min="38" max="47" width="11.42578125" style="81"/>
    <col min="48" max="48" width="13" style="81" customWidth="1"/>
    <col min="49" max="16384" width="11.42578125" style="81"/>
  </cols>
  <sheetData>
    <row r="2" spans="2:34" ht="18.75" customHeight="1" x14ac:dyDescent="0.25">
      <c r="D2" s="606"/>
      <c r="E2" s="606"/>
      <c r="F2" s="606"/>
      <c r="G2" s="606"/>
      <c r="H2" s="606"/>
      <c r="I2" s="606"/>
      <c r="J2" s="606"/>
      <c r="K2" s="606"/>
      <c r="L2" s="606"/>
      <c r="M2" s="606"/>
    </row>
    <row r="3" spans="2:34" ht="23.25" customHeight="1" x14ac:dyDescent="0.25">
      <c r="D3" s="606"/>
      <c r="E3" s="606"/>
      <c r="F3" s="606"/>
      <c r="G3" s="606"/>
      <c r="H3" s="606"/>
      <c r="I3" s="606"/>
      <c r="J3" s="606"/>
      <c r="K3" s="606"/>
      <c r="L3" s="606"/>
      <c r="M3" s="606"/>
    </row>
    <row r="4" spans="2:34" ht="21" x14ac:dyDescent="0.35">
      <c r="D4" s="82"/>
      <c r="E4" s="83"/>
      <c r="F4" s="83"/>
    </row>
    <row r="5" spans="2:34" ht="16.5" customHeight="1" x14ac:dyDescent="0.25">
      <c r="B5" s="84" t="s">
        <v>203</v>
      </c>
    </row>
    <row r="6" spans="2:34" ht="15.75" x14ac:dyDescent="0.25">
      <c r="R6" s="49"/>
      <c r="S6" s="49"/>
      <c r="T6" s="49"/>
      <c r="U6" s="49"/>
      <c r="AH6" s="85" t="s">
        <v>204</v>
      </c>
    </row>
    <row r="7" spans="2:34" x14ac:dyDescent="0.25">
      <c r="B7" s="86" t="s">
        <v>205</v>
      </c>
      <c r="AE7" s="87"/>
      <c r="AG7" s="88" t="s">
        <v>206</v>
      </c>
      <c r="AH7" s="89"/>
    </row>
    <row r="9" spans="2:34" ht="15" customHeight="1" x14ac:dyDescent="0.25">
      <c r="B9" s="90" t="s">
        <v>207</v>
      </c>
      <c r="C9" s="91"/>
      <c r="D9" s="607" t="s">
        <v>208</v>
      </c>
      <c r="E9" s="608"/>
      <c r="F9" s="609"/>
    </row>
    <row r="10" spans="2:34" x14ac:dyDescent="0.25">
      <c r="B10" s="610" t="s">
        <v>209</v>
      </c>
      <c r="C10" s="611"/>
      <c r="D10" s="607" t="s">
        <v>210</v>
      </c>
      <c r="E10" s="608"/>
      <c r="F10" s="609"/>
    </row>
    <row r="11" spans="2:34" ht="15" customHeight="1" x14ac:dyDescent="0.25">
      <c r="B11" s="607" t="s">
        <v>211</v>
      </c>
      <c r="C11" s="609"/>
      <c r="D11" s="607" t="s">
        <v>212</v>
      </c>
      <c r="E11" s="608"/>
      <c r="F11" s="609"/>
    </row>
    <row r="12" spans="2:34" x14ac:dyDescent="0.25">
      <c r="B12" s="90"/>
      <c r="C12" s="91"/>
      <c r="D12" s="90"/>
      <c r="E12" s="92"/>
      <c r="F12" s="91"/>
    </row>
    <row r="13" spans="2:34" x14ac:dyDescent="0.25">
      <c r="B13" s="90" t="s">
        <v>213</v>
      </c>
      <c r="C13" s="91"/>
      <c r="D13" s="607" t="s">
        <v>214</v>
      </c>
      <c r="E13" s="608"/>
      <c r="F13" s="609"/>
    </row>
    <row r="14" spans="2:34" x14ac:dyDescent="0.25">
      <c r="B14" s="90"/>
      <c r="C14" s="91"/>
      <c r="D14" s="607"/>
      <c r="E14" s="608"/>
      <c r="F14" s="609"/>
    </row>
    <row r="17" spans="2:195" x14ac:dyDescent="0.25">
      <c r="B17" s="81" t="s">
        <v>215</v>
      </c>
      <c r="C17" s="81" t="s">
        <v>216</v>
      </c>
    </row>
    <row r="18" spans="2:195" ht="21.75" customHeight="1" x14ac:dyDescent="0.25">
      <c r="B18" s="582" t="s">
        <v>217</v>
      </c>
      <c r="C18" s="582" t="s">
        <v>218</v>
      </c>
      <c r="D18" s="582" t="s">
        <v>219</v>
      </c>
      <c r="E18" s="582" t="s">
        <v>220</v>
      </c>
      <c r="F18" s="601" t="s">
        <v>221</v>
      </c>
      <c r="G18" s="601"/>
      <c r="H18" s="601"/>
      <c r="I18" s="601"/>
      <c r="J18" s="601"/>
      <c r="K18" s="601"/>
      <c r="L18" s="601"/>
      <c r="M18" s="601"/>
      <c r="N18" s="601"/>
      <c r="O18" s="601"/>
      <c r="P18" s="601"/>
      <c r="Q18" s="601"/>
      <c r="R18" s="582" t="s">
        <v>222</v>
      </c>
      <c r="S18" s="582"/>
      <c r="T18" s="582"/>
      <c r="U18" s="582"/>
      <c r="V18" s="582"/>
      <c r="W18" s="582"/>
      <c r="X18" s="582"/>
      <c r="Y18" s="582"/>
      <c r="Z18" s="582"/>
      <c r="AA18" s="582"/>
      <c r="AB18" s="582"/>
      <c r="AC18" s="582"/>
      <c r="AD18" s="582"/>
      <c r="AE18" s="582"/>
      <c r="AF18" s="582"/>
      <c r="AG18" s="582" t="s">
        <v>223</v>
      </c>
      <c r="AH18" s="582" t="s">
        <v>224</v>
      </c>
    </row>
    <row r="19" spans="2:195" ht="27" customHeight="1" x14ac:dyDescent="0.25">
      <c r="B19" s="582"/>
      <c r="C19" s="582"/>
      <c r="D19" s="582"/>
      <c r="E19" s="582"/>
      <c r="F19" s="582" t="s">
        <v>225</v>
      </c>
      <c r="G19" s="582"/>
      <c r="H19" s="582"/>
      <c r="I19" s="582"/>
      <c r="J19" s="583" t="s">
        <v>226</v>
      </c>
      <c r="K19" s="603"/>
      <c r="L19" s="603"/>
      <c r="M19" s="603"/>
      <c r="N19" s="603"/>
      <c r="O19" s="93"/>
      <c r="P19" s="93"/>
      <c r="Q19" s="93"/>
      <c r="R19" s="583" t="s">
        <v>227</v>
      </c>
      <c r="S19" s="603"/>
      <c r="T19" s="603"/>
      <c r="U19" s="603"/>
      <c r="V19" s="603"/>
      <c r="W19" s="603"/>
      <c r="X19" s="603"/>
      <c r="Y19" s="603"/>
      <c r="Z19" s="584"/>
      <c r="AA19" s="583" t="s">
        <v>228</v>
      </c>
      <c r="AB19" s="603"/>
      <c r="AC19" s="603"/>
      <c r="AD19" s="603"/>
      <c r="AE19" s="584"/>
      <c r="AF19" s="582" t="s">
        <v>229</v>
      </c>
      <c r="AG19" s="582"/>
      <c r="AH19" s="582"/>
    </row>
    <row r="20" spans="2:195" ht="55.5" customHeight="1" x14ac:dyDescent="0.25">
      <c r="B20" s="582"/>
      <c r="C20" s="582"/>
      <c r="D20" s="582"/>
      <c r="E20" s="582"/>
      <c r="F20" s="582"/>
      <c r="G20" s="582"/>
      <c r="H20" s="582"/>
      <c r="I20" s="582"/>
      <c r="J20" s="604" t="s">
        <v>230</v>
      </c>
      <c r="K20" s="605"/>
      <c r="L20" s="605"/>
      <c r="M20" s="605"/>
      <c r="N20" s="605"/>
      <c r="O20" s="591" t="s">
        <v>231</v>
      </c>
      <c r="P20" s="588"/>
      <c r="Q20" s="585" t="s">
        <v>232</v>
      </c>
      <c r="R20" s="583" t="s">
        <v>233</v>
      </c>
      <c r="S20" s="603"/>
      <c r="T20" s="603"/>
      <c r="U20" s="603"/>
      <c r="V20" s="603"/>
      <c r="W20" s="584"/>
      <c r="X20" s="591" t="s">
        <v>234</v>
      </c>
      <c r="Y20" s="588"/>
      <c r="Z20" s="585" t="s">
        <v>235</v>
      </c>
      <c r="AA20" s="583" t="s">
        <v>233</v>
      </c>
      <c r="AB20" s="584"/>
      <c r="AC20" s="583" t="s">
        <v>236</v>
      </c>
      <c r="AD20" s="584"/>
      <c r="AE20" s="585" t="s">
        <v>235</v>
      </c>
      <c r="AF20" s="582"/>
      <c r="AG20" s="582"/>
      <c r="AH20" s="582"/>
    </row>
    <row r="21" spans="2:195" ht="56.25" customHeight="1" x14ac:dyDescent="0.25">
      <c r="B21" s="582"/>
      <c r="C21" s="582"/>
      <c r="D21" s="582"/>
      <c r="E21" s="582"/>
      <c r="F21" s="582"/>
      <c r="G21" s="582"/>
      <c r="H21" s="582"/>
      <c r="I21" s="582"/>
      <c r="J21" s="585" t="s">
        <v>237</v>
      </c>
      <c r="K21" s="588" t="s">
        <v>238</v>
      </c>
      <c r="L21" s="585" t="s">
        <v>239</v>
      </c>
      <c r="M21" s="585" t="s">
        <v>240</v>
      </c>
      <c r="N21" s="585" t="s">
        <v>241</v>
      </c>
      <c r="O21" s="591" t="s">
        <v>242</v>
      </c>
      <c r="P21" s="585" t="s">
        <v>243</v>
      </c>
      <c r="Q21" s="586"/>
      <c r="R21" s="583" t="s">
        <v>244</v>
      </c>
      <c r="S21" s="584"/>
      <c r="T21" s="583" t="s">
        <v>245</v>
      </c>
      <c r="U21" s="584"/>
      <c r="V21" s="583" t="s">
        <v>246</v>
      </c>
      <c r="W21" s="584"/>
      <c r="X21" s="583" t="s">
        <v>246</v>
      </c>
      <c r="Y21" s="584"/>
      <c r="Z21" s="586"/>
      <c r="AA21" s="582" t="s">
        <v>247</v>
      </c>
      <c r="AB21" s="582" t="s">
        <v>248</v>
      </c>
      <c r="AC21" s="582" t="s">
        <v>247</v>
      </c>
      <c r="AD21" s="582" t="s">
        <v>248</v>
      </c>
      <c r="AE21" s="586"/>
      <c r="AF21" s="582"/>
      <c r="AG21" s="582"/>
      <c r="AH21" s="582"/>
      <c r="GM21" s="81" t="s">
        <v>249</v>
      </c>
    </row>
    <row r="22" spans="2:195" ht="44.25" customHeight="1" x14ac:dyDescent="0.25">
      <c r="B22" s="582"/>
      <c r="C22" s="582"/>
      <c r="D22" s="582"/>
      <c r="E22" s="582"/>
      <c r="F22" s="582" t="s">
        <v>200</v>
      </c>
      <c r="G22" s="582" t="s">
        <v>250</v>
      </c>
      <c r="H22" s="582" t="s">
        <v>251</v>
      </c>
      <c r="I22" s="582" t="s">
        <v>252</v>
      </c>
      <c r="J22" s="586"/>
      <c r="K22" s="589"/>
      <c r="L22" s="586"/>
      <c r="M22" s="586"/>
      <c r="N22" s="586"/>
      <c r="O22" s="592"/>
      <c r="P22" s="586"/>
      <c r="Q22" s="586"/>
      <c r="R22" s="582" t="s">
        <v>247</v>
      </c>
      <c r="S22" s="582" t="s">
        <v>248</v>
      </c>
      <c r="T22" s="582" t="s">
        <v>247</v>
      </c>
      <c r="U22" s="582" t="s">
        <v>248</v>
      </c>
      <c r="V22" s="582" t="s">
        <v>247</v>
      </c>
      <c r="W22" s="582" t="s">
        <v>248</v>
      </c>
      <c r="X22" s="582" t="s">
        <v>247</v>
      </c>
      <c r="Y22" s="582" t="s">
        <v>248</v>
      </c>
      <c r="Z22" s="586"/>
      <c r="AA22" s="582"/>
      <c r="AB22" s="582"/>
      <c r="AC22" s="582"/>
      <c r="AD22" s="582"/>
      <c r="AE22" s="586"/>
      <c r="AF22" s="582"/>
      <c r="AG22" s="582"/>
      <c r="AH22" s="582"/>
    </row>
    <row r="23" spans="2:195" ht="67.5" customHeight="1" x14ac:dyDescent="0.25">
      <c r="B23" s="582"/>
      <c r="C23" s="582"/>
      <c r="D23" s="582"/>
      <c r="E23" s="582"/>
      <c r="F23" s="582"/>
      <c r="G23" s="582"/>
      <c r="H23" s="582"/>
      <c r="I23" s="582"/>
      <c r="J23" s="587"/>
      <c r="K23" s="590"/>
      <c r="L23" s="587"/>
      <c r="M23" s="587"/>
      <c r="N23" s="587"/>
      <c r="O23" s="593"/>
      <c r="P23" s="587"/>
      <c r="Q23" s="587"/>
      <c r="R23" s="582"/>
      <c r="S23" s="582"/>
      <c r="T23" s="582"/>
      <c r="U23" s="582"/>
      <c r="V23" s="582"/>
      <c r="W23" s="582"/>
      <c r="X23" s="582"/>
      <c r="Y23" s="582"/>
      <c r="Z23" s="587"/>
      <c r="AA23" s="582"/>
      <c r="AB23" s="582"/>
      <c r="AC23" s="582"/>
      <c r="AD23" s="582"/>
      <c r="AE23" s="587"/>
      <c r="AF23" s="582"/>
      <c r="AG23" s="582"/>
      <c r="AH23" s="582"/>
    </row>
    <row r="24" spans="2:195" x14ac:dyDescent="0.25">
      <c r="B24" s="94" t="s">
        <v>253</v>
      </c>
      <c r="C24" s="94" t="s">
        <v>254</v>
      </c>
      <c r="D24" s="94" t="s">
        <v>255</v>
      </c>
      <c r="E24" s="94" t="s">
        <v>256</v>
      </c>
      <c r="F24" s="94" t="s">
        <v>257</v>
      </c>
      <c r="G24" s="94" t="s">
        <v>258</v>
      </c>
      <c r="H24" s="94" t="s">
        <v>259</v>
      </c>
      <c r="I24" s="94" t="s">
        <v>260</v>
      </c>
      <c r="J24" s="94" t="s">
        <v>261</v>
      </c>
      <c r="K24" s="94" t="s">
        <v>262</v>
      </c>
      <c r="L24" s="94" t="s">
        <v>263</v>
      </c>
      <c r="M24" s="94" t="s">
        <v>264</v>
      </c>
      <c r="N24" s="94" t="s">
        <v>265</v>
      </c>
      <c r="O24" s="94" t="s">
        <v>266</v>
      </c>
      <c r="P24" s="94" t="s">
        <v>267</v>
      </c>
      <c r="Q24" s="94" t="s">
        <v>268</v>
      </c>
      <c r="R24" s="94" t="s">
        <v>269</v>
      </c>
      <c r="S24" s="94" t="s">
        <v>270</v>
      </c>
      <c r="T24" s="94" t="s">
        <v>271</v>
      </c>
      <c r="U24" s="94" t="s">
        <v>272</v>
      </c>
      <c r="V24" s="94" t="s">
        <v>273</v>
      </c>
      <c r="W24" s="94" t="s">
        <v>274</v>
      </c>
      <c r="X24" s="94" t="s">
        <v>275</v>
      </c>
      <c r="Y24" s="94" t="s">
        <v>276</v>
      </c>
      <c r="Z24" s="94" t="s">
        <v>277</v>
      </c>
      <c r="AA24" s="94" t="s">
        <v>278</v>
      </c>
      <c r="AB24" s="94" t="s">
        <v>279</v>
      </c>
      <c r="AC24" s="94" t="s">
        <v>280</v>
      </c>
      <c r="AD24" s="94" t="s">
        <v>281</v>
      </c>
      <c r="AE24" s="94" t="s">
        <v>282</v>
      </c>
      <c r="AF24" s="94" t="s">
        <v>283</v>
      </c>
      <c r="AG24" s="94" t="s">
        <v>284</v>
      </c>
      <c r="AH24" s="94" t="s">
        <v>285</v>
      </c>
    </row>
    <row r="25" spans="2:195" x14ac:dyDescent="0.25">
      <c r="B25" s="106" t="str">
        <f>Antecedentes!D70</f>
        <v>20.10.2025</v>
      </c>
      <c r="C25" s="94" t="s">
        <v>286</v>
      </c>
      <c r="D25" s="107" t="str">
        <f>Antecedentes!C70</f>
        <v>Socio Sr. Ortiz</v>
      </c>
      <c r="E25" s="94"/>
      <c r="F25" s="108">
        <f>'Datos para DJ 1948'!D10</f>
        <v>8024000</v>
      </c>
      <c r="G25" s="108"/>
      <c r="H25" s="108"/>
      <c r="I25" s="108"/>
      <c r="J25" s="108"/>
      <c r="K25" s="108"/>
      <c r="L25" s="108"/>
      <c r="M25" s="108"/>
      <c r="N25" s="108"/>
      <c r="O25" s="108"/>
      <c r="P25" s="108"/>
      <c r="Q25" s="108"/>
      <c r="R25" s="108"/>
      <c r="S25" s="108"/>
      <c r="T25" s="108">
        <f>'Datos para DJ 1948'!G10</f>
        <v>1485676</v>
      </c>
      <c r="U25" s="108">
        <f>'Datos para DJ 1948'!H10</f>
        <v>57400</v>
      </c>
      <c r="V25" s="108"/>
      <c r="W25" s="108"/>
      <c r="X25" s="108"/>
      <c r="Y25" s="108"/>
      <c r="Z25" s="108">
        <f>'Datos para DJ 1948'!I10</f>
        <v>2777539</v>
      </c>
      <c r="AA25" s="108"/>
      <c r="AB25" s="108"/>
      <c r="AC25" s="108"/>
      <c r="AD25" s="108"/>
      <c r="AE25" s="108"/>
      <c r="AF25" s="108"/>
      <c r="AG25" s="108"/>
      <c r="AH25" s="139">
        <v>1</v>
      </c>
    </row>
    <row r="26" spans="2:195" x14ac:dyDescent="0.25">
      <c r="B26" s="106" t="str">
        <f>Antecedentes!D71</f>
        <v>20.11.2025</v>
      </c>
      <c r="C26" s="94" t="s">
        <v>287</v>
      </c>
      <c r="D26" s="107" t="str">
        <f>Antecedentes!C71</f>
        <v xml:space="preserve">Socio Sr. Escudero </v>
      </c>
      <c r="E26" s="94"/>
      <c r="F26" s="108">
        <f>'Datos para DJ 1948'!D11</f>
        <v>8024000</v>
      </c>
      <c r="G26" s="108"/>
      <c r="H26" s="108"/>
      <c r="I26" s="108"/>
      <c r="J26" s="108"/>
      <c r="K26" s="108"/>
      <c r="L26" s="108"/>
      <c r="M26" s="108"/>
      <c r="N26" s="108"/>
      <c r="O26" s="108"/>
      <c r="P26" s="108"/>
      <c r="Q26" s="108"/>
      <c r="R26" s="108"/>
      <c r="S26" s="108"/>
      <c r="T26" s="108"/>
      <c r="U26" s="108">
        <f>'Datos para DJ 1948'!H11</f>
        <v>1148112</v>
      </c>
      <c r="V26" s="108"/>
      <c r="W26" s="108"/>
      <c r="X26" s="108"/>
      <c r="Y26" s="108"/>
      <c r="Z26" s="108">
        <f>'Datos para DJ 1948'!I11</f>
        <v>12794</v>
      </c>
      <c r="AA26" s="108"/>
      <c r="AB26" s="108"/>
      <c r="AC26" s="108"/>
      <c r="AD26" s="108"/>
      <c r="AE26" s="108"/>
      <c r="AF26" s="108"/>
      <c r="AG26" s="108"/>
      <c r="AH26" s="139">
        <v>2</v>
      </c>
    </row>
    <row r="27" spans="2:195" x14ac:dyDescent="0.25">
      <c r="B27" s="95"/>
      <c r="C27" s="95"/>
      <c r="D27" s="95"/>
      <c r="E27" s="95"/>
      <c r="F27" s="95"/>
      <c r="G27" s="95"/>
      <c r="H27" s="95"/>
      <c r="I27" s="95"/>
      <c r="J27" s="95"/>
      <c r="K27" s="95"/>
      <c r="L27" s="95"/>
      <c r="M27" s="95"/>
      <c r="N27" s="96"/>
      <c r="O27" s="95"/>
      <c r="P27" s="95"/>
      <c r="Q27" s="95"/>
      <c r="R27" s="95"/>
      <c r="S27" s="95"/>
      <c r="T27" s="95"/>
      <c r="U27" s="95"/>
      <c r="V27" s="95"/>
      <c r="W27" s="95"/>
      <c r="X27" s="95"/>
      <c r="Y27" s="95"/>
      <c r="Z27" s="95"/>
      <c r="AA27" s="95"/>
      <c r="AB27" s="95"/>
      <c r="AC27" s="95"/>
      <c r="AD27" s="95"/>
      <c r="AE27" s="95"/>
      <c r="AF27" s="95"/>
      <c r="AG27" s="95"/>
      <c r="AH27" s="95"/>
    </row>
    <row r="28" spans="2:195" x14ac:dyDescent="0.25">
      <c r="B28" s="81" t="s">
        <v>288</v>
      </c>
      <c r="C28" s="81" t="s">
        <v>289</v>
      </c>
    </row>
    <row r="29" spans="2:195" ht="15" customHeight="1" x14ac:dyDescent="0.25">
      <c r="B29" s="582" t="s">
        <v>290</v>
      </c>
      <c r="C29" s="582" t="s">
        <v>291</v>
      </c>
      <c r="D29" s="98"/>
      <c r="F29" s="99"/>
      <c r="G29" s="99"/>
      <c r="H29" s="99"/>
    </row>
    <row r="30" spans="2:195" ht="15" customHeight="1" x14ac:dyDescent="0.25">
      <c r="B30" s="582"/>
      <c r="C30" s="582"/>
      <c r="D30" s="98"/>
    </row>
    <row r="31" spans="2:195" ht="15" customHeight="1" x14ac:dyDescent="0.25">
      <c r="B31" s="582"/>
      <c r="C31" s="582"/>
      <c r="D31" s="98"/>
    </row>
    <row r="32" spans="2:195" x14ac:dyDescent="0.25">
      <c r="B32" s="582"/>
      <c r="C32" s="582"/>
      <c r="D32" s="98"/>
    </row>
    <row r="33" spans="2:32" x14ac:dyDescent="0.25">
      <c r="B33" s="582"/>
      <c r="C33" s="582"/>
      <c r="D33" s="98"/>
      <c r="R33" s="97"/>
      <c r="T33" s="97"/>
    </row>
    <row r="34" spans="2:32" x14ac:dyDescent="0.25">
      <c r="B34" s="100" t="s">
        <v>292</v>
      </c>
      <c r="C34" s="100" t="s">
        <v>293</v>
      </c>
      <c r="D34" s="95"/>
    </row>
    <row r="36" spans="2:32" x14ac:dyDescent="0.25">
      <c r="B36" s="598" t="s">
        <v>294</v>
      </c>
      <c r="C36" s="599"/>
      <c r="D36" s="599"/>
      <c r="E36" s="599"/>
      <c r="F36" s="599"/>
      <c r="G36" s="599"/>
      <c r="H36" s="599"/>
      <c r="I36" s="599"/>
      <c r="J36" s="599"/>
      <c r="K36" s="599"/>
      <c r="L36" s="599"/>
      <c r="M36" s="599"/>
      <c r="N36" s="599"/>
      <c r="O36" s="599"/>
      <c r="P36" s="599"/>
      <c r="Q36" s="599"/>
      <c r="R36" s="599"/>
      <c r="S36" s="599"/>
      <c r="T36" s="599"/>
      <c r="U36" s="599"/>
      <c r="V36" s="599"/>
      <c r="W36" s="599"/>
      <c r="X36" s="599"/>
      <c r="Y36" s="599"/>
      <c r="Z36" s="599"/>
      <c r="AA36" s="599"/>
      <c r="AB36" s="599"/>
      <c r="AC36" s="599"/>
      <c r="AD36" s="599"/>
      <c r="AE36" s="599"/>
      <c r="AF36" s="600"/>
    </row>
    <row r="37" spans="2:32" ht="36" customHeight="1" x14ac:dyDescent="0.25">
      <c r="B37" s="582" t="s">
        <v>220</v>
      </c>
      <c r="C37" s="601" t="s">
        <v>221</v>
      </c>
      <c r="D37" s="601"/>
      <c r="E37" s="601"/>
      <c r="F37" s="601"/>
      <c r="G37" s="601"/>
      <c r="H37" s="601"/>
      <c r="I37" s="601"/>
      <c r="J37" s="601"/>
      <c r="K37" s="601"/>
      <c r="L37" s="601"/>
      <c r="M37" s="601"/>
      <c r="N37" s="601"/>
      <c r="O37" s="582" t="s">
        <v>222</v>
      </c>
      <c r="P37" s="582"/>
      <c r="Q37" s="582"/>
      <c r="R37" s="582"/>
      <c r="S37" s="582"/>
      <c r="T37" s="582"/>
      <c r="U37" s="582"/>
      <c r="V37" s="582"/>
      <c r="W37" s="582"/>
      <c r="X37" s="582"/>
      <c r="Y37" s="582"/>
      <c r="Z37" s="582"/>
      <c r="AA37" s="582"/>
      <c r="AB37" s="582"/>
      <c r="AC37" s="582"/>
      <c r="AD37" s="582" t="s">
        <v>223</v>
      </c>
      <c r="AE37" s="585" t="s">
        <v>291</v>
      </c>
      <c r="AF37" s="602" t="s">
        <v>295</v>
      </c>
    </row>
    <row r="38" spans="2:32" ht="28.5" customHeight="1" x14ac:dyDescent="0.25">
      <c r="B38" s="582"/>
      <c r="C38" s="582" t="s">
        <v>225</v>
      </c>
      <c r="D38" s="582"/>
      <c r="E38" s="582"/>
      <c r="F38" s="582"/>
      <c r="G38" s="583" t="s">
        <v>296</v>
      </c>
      <c r="H38" s="603"/>
      <c r="I38" s="603"/>
      <c r="J38" s="603"/>
      <c r="K38" s="603"/>
      <c r="L38" s="93"/>
      <c r="M38" s="93"/>
      <c r="N38" s="93"/>
      <c r="O38" s="583" t="s">
        <v>227</v>
      </c>
      <c r="P38" s="603"/>
      <c r="Q38" s="603"/>
      <c r="R38" s="603"/>
      <c r="S38" s="603"/>
      <c r="T38" s="603"/>
      <c r="U38" s="603"/>
      <c r="V38" s="603"/>
      <c r="W38" s="584"/>
      <c r="X38" s="583" t="s">
        <v>228</v>
      </c>
      <c r="Y38" s="603"/>
      <c r="Z38" s="603"/>
      <c r="AA38" s="603"/>
      <c r="AB38" s="584"/>
      <c r="AC38" s="582" t="s">
        <v>229</v>
      </c>
      <c r="AD38" s="582"/>
      <c r="AE38" s="586"/>
      <c r="AF38" s="602"/>
    </row>
    <row r="39" spans="2:32" ht="54" customHeight="1" x14ac:dyDescent="0.25">
      <c r="B39" s="582"/>
      <c r="C39" s="582"/>
      <c r="D39" s="582"/>
      <c r="E39" s="582"/>
      <c r="F39" s="582"/>
      <c r="G39" s="604" t="s">
        <v>230</v>
      </c>
      <c r="H39" s="605"/>
      <c r="I39" s="605"/>
      <c r="J39" s="605"/>
      <c r="K39" s="605"/>
      <c r="L39" s="591" t="s">
        <v>297</v>
      </c>
      <c r="M39" s="588"/>
      <c r="N39" s="585" t="s">
        <v>232</v>
      </c>
      <c r="O39" s="583" t="s">
        <v>233</v>
      </c>
      <c r="P39" s="603"/>
      <c r="Q39" s="603"/>
      <c r="R39" s="603"/>
      <c r="S39" s="603"/>
      <c r="T39" s="584"/>
      <c r="U39" s="591" t="s">
        <v>234</v>
      </c>
      <c r="V39" s="588"/>
      <c r="W39" s="585" t="s">
        <v>235</v>
      </c>
      <c r="X39" s="583" t="s">
        <v>233</v>
      </c>
      <c r="Y39" s="584"/>
      <c r="Z39" s="583" t="s">
        <v>298</v>
      </c>
      <c r="AA39" s="584"/>
      <c r="AB39" s="585" t="s">
        <v>235</v>
      </c>
      <c r="AC39" s="582"/>
      <c r="AD39" s="582"/>
      <c r="AE39" s="586"/>
      <c r="AF39" s="602"/>
    </row>
    <row r="40" spans="2:32" ht="43.5" customHeight="1" x14ac:dyDescent="0.25">
      <c r="B40" s="582"/>
      <c r="C40" s="582"/>
      <c r="D40" s="582"/>
      <c r="E40" s="582"/>
      <c r="F40" s="582"/>
      <c r="G40" s="585" t="s">
        <v>237</v>
      </c>
      <c r="H40" s="588" t="s">
        <v>238</v>
      </c>
      <c r="I40" s="585" t="s">
        <v>239</v>
      </c>
      <c r="J40" s="585" t="s">
        <v>240</v>
      </c>
      <c r="K40" s="585" t="s">
        <v>241</v>
      </c>
      <c r="L40" s="591" t="s">
        <v>242</v>
      </c>
      <c r="M40" s="585" t="s">
        <v>243</v>
      </c>
      <c r="N40" s="586"/>
      <c r="O40" s="583" t="s">
        <v>244</v>
      </c>
      <c r="P40" s="584"/>
      <c r="Q40" s="583" t="s">
        <v>245</v>
      </c>
      <c r="R40" s="584"/>
      <c r="S40" s="583" t="s">
        <v>246</v>
      </c>
      <c r="T40" s="584"/>
      <c r="U40" s="583" t="s">
        <v>246</v>
      </c>
      <c r="V40" s="584"/>
      <c r="W40" s="586"/>
      <c r="X40" s="582" t="s">
        <v>247</v>
      </c>
      <c r="Y40" s="582" t="s">
        <v>248</v>
      </c>
      <c r="Z40" s="582" t="s">
        <v>247</v>
      </c>
      <c r="AA40" s="582" t="s">
        <v>248</v>
      </c>
      <c r="AB40" s="586"/>
      <c r="AC40" s="582"/>
      <c r="AD40" s="582"/>
      <c r="AE40" s="586"/>
      <c r="AF40" s="602"/>
    </row>
    <row r="41" spans="2:32" x14ac:dyDescent="0.25">
      <c r="B41" s="582"/>
      <c r="C41" s="582" t="s">
        <v>200</v>
      </c>
      <c r="D41" s="582" t="s">
        <v>250</v>
      </c>
      <c r="E41" s="582" t="s">
        <v>251</v>
      </c>
      <c r="F41" s="582" t="s">
        <v>252</v>
      </c>
      <c r="G41" s="586"/>
      <c r="H41" s="589"/>
      <c r="I41" s="586"/>
      <c r="J41" s="586"/>
      <c r="K41" s="586"/>
      <c r="L41" s="592"/>
      <c r="M41" s="586"/>
      <c r="N41" s="586"/>
      <c r="O41" s="582" t="s">
        <v>247</v>
      </c>
      <c r="P41" s="582" t="s">
        <v>248</v>
      </c>
      <c r="Q41" s="582" t="s">
        <v>247</v>
      </c>
      <c r="R41" s="582" t="s">
        <v>248</v>
      </c>
      <c r="S41" s="582" t="s">
        <v>247</v>
      </c>
      <c r="T41" s="582" t="s">
        <v>248</v>
      </c>
      <c r="U41" s="582" t="s">
        <v>247</v>
      </c>
      <c r="V41" s="582" t="s">
        <v>248</v>
      </c>
      <c r="W41" s="586"/>
      <c r="X41" s="582"/>
      <c r="Y41" s="582"/>
      <c r="Z41" s="582"/>
      <c r="AA41" s="582"/>
      <c r="AB41" s="586"/>
      <c r="AC41" s="582"/>
      <c r="AD41" s="582"/>
      <c r="AE41" s="586"/>
      <c r="AF41" s="602"/>
    </row>
    <row r="42" spans="2:32" ht="96" customHeight="1" x14ac:dyDescent="0.25">
      <c r="B42" s="582"/>
      <c r="C42" s="582"/>
      <c r="D42" s="582"/>
      <c r="E42" s="582"/>
      <c r="F42" s="582"/>
      <c r="G42" s="587"/>
      <c r="H42" s="590"/>
      <c r="I42" s="587"/>
      <c r="J42" s="587"/>
      <c r="K42" s="587"/>
      <c r="L42" s="593"/>
      <c r="M42" s="587"/>
      <c r="N42" s="587"/>
      <c r="O42" s="582"/>
      <c r="P42" s="582"/>
      <c r="Q42" s="582"/>
      <c r="R42" s="582"/>
      <c r="S42" s="582"/>
      <c r="T42" s="582"/>
      <c r="U42" s="582"/>
      <c r="V42" s="582"/>
      <c r="W42" s="587"/>
      <c r="X42" s="582"/>
      <c r="Y42" s="582"/>
      <c r="Z42" s="582"/>
      <c r="AA42" s="582"/>
      <c r="AB42" s="587"/>
      <c r="AC42" s="582"/>
      <c r="AD42" s="582"/>
      <c r="AE42" s="587"/>
      <c r="AF42" s="602"/>
    </row>
    <row r="43" spans="2:32" x14ac:dyDescent="0.25">
      <c r="B43" s="94" t="s">
        <v>299</v>
      </c>
      <c r="C43" s="94" t="s">
        <v>300</v>
      </c>
      <c r="D43" s="94" t="s">
        <v>301</v>
      </c>
      <c r="E43" s="94" t="s">
        <v>302</v>
      </c>
      <c r="F43" s="94" t="s">
        <v>303</v>
      </c>
      <c r="G43" s="94" t="s">
        <v>304</v>
      </c>
      <c r="H43" s="94" t="s">
        <v>305</v>
      </c>
      <c r="I43" s="94" t="s">
        <v>306</v>
      </c>
      <c r="J43" s="94" t="s">
        <v>307</v>
      </c>
      <c r="K43" s="94" t="s">
        <v>308</v>
      </c>
      <c r="L43" s="94" t="s">
        <v>309</v>
      </c>
      <c r="M43" s="94" t="s">
        <v>310</v>
      </c>
      <c r="N43" s="94" t="s">
        <v>311</v>
      </c>
      <c r="O43" s="94" t="s">
        <v>312</v>
      </c>
      <c r="P43" s="94" t="s">
        <v>313</v>
      </c>
      <c r="Q43" s="94" t="s">
        <v>314</v>
      </c>
      <c r="R43" s="94" t="s">
        <v>315</v>
      </c>
      <c r="S43" s="94" t="s">
        <v>316</v>
      </c>
      <c r="T43" s="94" t="s">
        <v>317</v>
      </c>
      <c r="U43" s="94" t="s">
        <v>318</v>
      </c>
      <c r="V43" s="94" t="s">
        <v>319</v>
      </c>
      <c r="W43" s="94" t="s">
        <v>320</v>
      </c>
      <c r="X43" s="94" t="s">
        <v>321</v>
      </c>
      <c r="Y43" s="94" t="s">
        <v>322</v>
      </c>
      <c r="Z43" s="94" t="s">
        <v>323</v>
      </c>
      <c r="AA43" s="94" t="s">
        <v>324</v>
      </c>
      <c r="AB43" s="94" t="s">
        <v>325</v>
      </c>
      <c r="AC43" s="94" t="s">
        <v>326</v>
      </c>
      <c r="AD43" s="94" t="s">
        <v>327</v>
      </c>
      <c r="AE43" s="94" t="s">
        <v>328</v>
      </c>
      <c r="AF43" s="94" t="s">
        <v>329</v>
      </c>
    </row>
    <row r="44" spans="2:32" x14ac:dyDescent="0.25">
      <c r="B44" s="94"/>
      <c r="C44" s="109">
        <f>+SUM(F25:F26)</f>
        <v>16048000</v>
      </c>
      <c r="D44" s="94"/>
      <c r="E44" s="94"/>
      <c r="F44" s="94"/>
      <c r="G44" s="94"/>
      <c r="H44" s="94"/>
      <c r="I44" s="94"/>
      <c r="J44" s="94"/>
      <c r="K44" s="94"/>
      <c r="L44" s="94"/>
      <c r="M44" s="94"/>
      <c r="N44" s="94"/>
      <c r="O44" s="94"/>
      <c r="P44" s="94"/>
      <c r="Q44" s="109">
        <f>+SUM(T25:T26)</f>
        <v>1485676</v>
      </c>
      <c r="R44" s="109">
        <f>+SUM(U25:U26)</f>
        <v>1205512</v>
      </c>
      <c r="S44" s="94"/>
      <c r="T44" s="94"/>
      <c r="U44" s="94"/>
      <c r="V44" s="94"/>
      <c r="W44" s="109">
        <f>+SUM(Z25:Z26)</f>
        <v>2790333</v>
      </c>
      <c r="X44" s="94"/>
      <c r="Y44" s="94"/>
      <c r="Z44" s="94"/>
      <c r="AA44" s="94"/>
      <c r="AB44" s="94"/>
      <c r="AC44" s="94"/>
      <c r="AD44" s="94"/>
      <c r="AE44" s="94"/>
      <c r="AF44" s="94">
        <f>+COUNT(AH25:AH26)</f>
        <v>2</v>
      </c>
    </row>
    <row r="46" spans="2:32" x14ac:dyDescent="0.25">
      <c r="B46" s="594" t="s">
        <v>330</v>
      </c>
      <c r="C46" s="594"/>
      <c r="D46" s="594"/>
      <c r="E46" s="594"/>
      <c r="F46" s="594"/>
      <c r="G46" s="594"/>
      <c r="H46" s="594"/>
      <c r="I46" s="594"/>
      <c r="J46" s="594"/>
      <c r="K46" s="594"/>
      <c r="L46" s="594"/>
      <c r="M46" s="594"/>
      <c r="N46" s="594"/>
      <c r="O46" s="594"/>
      <c r="P46" s="594"/>
      <c r="Q46" s="594"/>
      <c r="R46" s="594"/>
      <c r="S46" s="594"/>
      <c r="T46" s="594"/>
      <c r="U46" s="594"/>
      <c r="V46" s="594"/>
    </row>
    <row r="48" spans="2:32" x14ac:dyDescent="0.25">
      <c r="B48" s="595" t="s">
        <v>331</v>
      </c>
      <c r="C48" s="596"/>
      <c r="D48" s="101"/>
      <c r="F48" s="597" t="s">
        <v>332</v>
      </c>
      <c r="G48" s="597"/>
      <c r="H48" s="597"/>
      <c r="I48" s="597"/>
      <c r="J48" s="101"/>
      <c r="K48" s="101"/>
      <c r="L48" s="101"/>
      <c r="M48" s="101"/>
      <c r="N48" s="101"/>
    </row>
    <row r="49" spans="2:14" x14ac:dyDescent="0.25">
      <c r="B49" s="102"/>
      <c r="C49" s="103"/>
      <c r="D49" s="104"/>
      <c r="F49" s="102"/>
      <c r="G49" s="105"/>
      <c r="H49" s="105"/>
      <c r="I49" s="103"/>
      <c r="J49" s="104"/>
      <c r="K49" s="104"/>
      <c r="L49" s="104"/>
      <c r="M49" s="104"/>
      <c r="N49" s="104"/>
    </row>
  </sheetData>
  <mergeCells count="110">
    <mergeCell ref="P21:P23"/>
    <mergeCell ref="D2:M3"/>
    <mergeCell ref="D9:F9"/>
    <mergeCell ref="B11:C11"/>
    <mergeCell ref="D11:F11"/>
    <mergeCell ref="D13:F13"/>
    <mergeCell ref="D14:F14"/>
    <mergeCell ref="B18:B23"/>
    <mergeCell ref="C18:C23"/>
    <mergeCell ref="D18:D23"/>
    <mergeCell ref="E18:E23"/>
    <mergeCell ref="F18:Q18"/>
    <mergeCell ref="D10:F10"/>
    <mergeCell ref="B10:C10"/>
    <mergeCell ref="Y22:Y23"/>
    <mergeCell ref="R18:AF18"/>
    <mergeCell ref="R20:W20"/>
    <mergeCell ref="X20:Y20"/>
    <mergeCell ref="Z20:Z23"/>
    <mergeCell ref="AA20:AB20"/>
    <mergeCell ref="AG18:AG23"/>
    <mergeCell ref="AH18:AH23"/>
    <mergeCell ref="F19:I21"/>
    <mergeCell ref="J19:N19"/>
    <mergeCell ref="R19:Z19"/>
    <mergeCell ref="AA19:AE19"/>
    <mergeCell ref="AF19:AF23"/>
    <mergeCell ref="J20:N20"/>
    <mergeCell ref="O20:P20"/>
    <mergeCell ref="Q20:Q23"/>
    <mergeCell ref="AC20:AD20"/>
    <mergeCell ref="AE20:AE23"/>
    <mergeCell ref="J21:J23"/>
    <mergeCell ref="K21:K23"/>
    <mergeCell ref="L21:L23"/>
    <mergeCell ref="M21:M23"/>
    <mergeCell ref="N21:N23"/>
    <mergeCell ref="O21:O23"/>
    <mergeCell ref="W39:W42"/>
    <mergeCell ref="V41:V42"/>
    <mergeCell ref="X39:Y39"/>
    <mergeCell ref="Z39:AA39"/>
    <mergeCell ref="AB39:AB42"/>
    <mergeCell ref="R21:S21"/>
    <mergeCell ref="AD21:AD23"/>
    <mergeCell ref="F22:F23"/>
    <mergeCell ref="G22:G23"/>
    <mergeCell ref="H22:H23"/>
    <mergeCell ref="I22:I23"/>
    <mergeCell ref="R22:R23"/>
    <mergeCell ref="S22:S23"/>
    <mergeCell ref="T22:T23"/>
    <mergeCell ref="U22:U23"/>
    <mergeCell ref="V22:V23"/>
    <mergeCell ref="T21:U21"/>
    <mergeCell ref="V21:W21"/>
    <mergeCell ref="X21:Y21"/>
    <mergeCell ref="AA21:AA23"/>
    <mergeCell ref="AB21:AB23"/>
    <mergeCell ref="AC21:AC23"/>
    <mergeCell ref="W22:W23"/>
    <mergeCell ref="X22:X23"/>
    <mergeCell ref="L40:L42"/>
    <mergeCell ref="M40:M42"/>
    <mergeCell ref="B46:V46"/>
    <mergeCell ref="B48:C48"/>
    <mergeCell ref="F48:I48"/>
    <mergeCell ref="B29:B33"/>
    <mergeCell ref="C29:C33"/>
    <mergeCell ref="B36:AF36"/>
    <mergeCell ref="B37:B42"/>
    <mergeCell ref="C37:N37"/>
    <mergeCell ref="O37:AC37"/>
    <mergeCell ref="AD37:AD42"/>
    <mergeCell ref="AE37:AE42"/>
    <mergeCell ref="AF37:AF42"/>
    <mergeCell ref="C38:F40"/>
    <mergeCell ref="G38:K38"/>
    <mergeCell ref="O38:W38"/>
    <mergeCell ref="X38:AB38"/>
    <mergeCell ref="AC38:AC42"/>
    <mergeCell ref="G39:K39"/>
    <mergeCell ref="L39:M39"/>
    <mergeCell ref="N39:N42"/>
    <mergeCell ref="O39:T39"/>
    <mergeCell ref="U39:V39"/>
    <mergeCell ref="Z40:Z42"/>
    <mergeCell ref="AA40:AA42"/>
    <mergeCell ref="C41:C42"/>
    <mergeCell ref="D41:D42"/>
    <mergeCell ref="E41:E42"/>
    <mergeCell ref="F41:F42"/>
    <mergeCell ref="O41:O42"/>
    <mergeCell ref="P41:P42"/>
    <mergeCell ref="Q41:Q42"/>
    <mergeCell ref="R41:R42"/>
    <mergeCell ref="O40:P40"/>
    <mergeCell ref="Q40:R40"/>
    <mergeCell ref="S40:T40"/>
    <mergeCell ref="U40:V40"/>
    <mergeCell ref="X40:X42"/>
    <mergeCell ref="Y40:Y42"/>
    <mergeCell ref="S41:S42"/>
    <mergeCell ref="T41:T42"/>
    <mergeCell ref="U41:U42"/>
    <mergeCell ref="G40:G42"/>
    <mergeCell ref="H40:H42"/>
    <mergeCell ref="I40:I42"/>
    <mergeCell ref="J40:J42"/>
    <mergeCell ref="K40:K42"/>
  </mergeCells>
  <pageMargins left="0.7" right="0.7" top="0.75" bottom="0.75" header="0.3" footer="0.3"/>
  <pageSetup scale="29" orientation="portrait" r:id="rId1"/>
  <colBreaks count="1" manualBreakCount="1">
    <brk id="17" max="53"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85DFDB-9D22-4AA3-8E0F-C7059B623EEF}">
  <dimension ref="A1:GO39"/>
  <sheetViews>
    <sheetView showGridLines="0" zoomScale="80" zoomScaleNormal="80" workbookViewId="0"/>
  </sheetViews>
  <sheetFormatPr baseColWidth="10" defaultColWidth="11.42578125" defaultRowHeight="15" x14ac:dyDescent="0.25"/>
  <cols>
    <col min="1" max="1" width="3.140625" style="11" customWidth="1"/>
    <col min="2" max="2" width="13.7109375" style="11" customWidth="1"/>
    <col min="3" max="3" width="16.42578125" style="11" customWidth="1"/>
    <col min="4" max="4" width="15.7109375" style="11" customWidth="1"/>
    <col min="5" max="5" width="17.28515625" style="11" customWidth="1"/>
    <col min="6" max="6" width="16.85546875" style="11" customWidth="1"/>
    <col min="7" max="7" width="14.85546875" style="11" customWidth="1"/>
    <col min="8" max="8" width="16.85546875" style="11" customWidth="1"/>
    <col min="9" max="12" width="17.5703125" style="11" customWidth="1"/>
    <col min="13" max="13" width="18.140625" style="11" customWidth="1"/>
    <col min="14" max="14" width="17.5703125" style="11" customWidth="1"/>
    <col min="15" max="15" width="21.85546875" style="11" customWidth="1"/>
    <col min="16" max="16" width="23.28515625" style="11" customWidth="1"/>
    <col min="17" max="17" width="24.5703125" style="11" customWidth="1"/>
    <col min="18" max="18" width="23.28515625" style="11" customWidth="1"/>
    <col min="19" max="19" width="22.42578125" style="11" customWidth="1"/>
    <col min="20" max="20" width="17.7109375" style="11" customWidth="1"/>
    <col min="21" max="21" width="15.5703125" style="11" customWidth="1"/>
    <col min="22" max="22" width="17.140625" style="11" customWidth="1"/>
    <col min="23" max="23" width="15.85546875" style="11" customWidth="1"/>
    <col min="24" max="24" width="18.5703125" style="11" customWidth="1"/>
    <col min="25" max="30" width="15.5703125" style="11" customWidth="1"/>
    <col min="31" max="31" width="17.140625" style="11" customWidth="1"/>
    <col min="32" max="33" width="20" style="11" customWidth="1"/>
    <col min="34" max="35" width="17.140625" style="11" customWidth="1"/>
    <col min="36" max="37" width="15.7109375" style="11" customWidth="1"/>
    <col min="38" max="38" width="17.140625" style="11" customWidth="1"/>
    <col min="39" max="39" width="15.7109375" style="11" customWidth="1"/>
    <col min="40" max="16384" width="11.42578125" style="11"/>
  </cols>
  <sheetData>
    <row r="1" spans="1:197" x14ac:dyDescent="0.25">
      <c r="A1" s="110"/>
    </row>
    <row r="3" spans="1:197" x14ac:dyDescent="0.25">
      <c r="B3" s="11" t="s">
        <v>333</v>
      </c>
      <c r="D3" s="11" t="str">
        <f>'F1948'!D10</f>
        <v xml:space="preserve">La sociedad  EC  &amp; GET Ltda. </v>
      </c>
      <c r="W3" s="11" t="s">
        <v>334</v>
      </c>
    </row>
    <row r="4" spans="1:197" x14ac:dyDescent="0.25">
      <c r="B4" s="11" t="s">
        <v>335</v>
      </c>
      <c r="D4" s="11" t="str">
        <f>'F1948'!B10</f>
        <v>20-5</v>
      </c>
      <c r="W4" s="11" t="s">
        <v>334</v>
      </c>
      <c r="AF4" s="111" t="s">
        <v>336</v>
      </c>
      <c r="AG4" s="111"/>
      <c r="AH4" s="112"/>
      <c r="AI4" s="113"/>
    </row>
    <row r="5" spans="1:197" x14ac:dyDescent="0.25">
      <c r="B5" s="11" t="s">
        <v>337</v>
      </c>
      <c r="D5" s="11" t="s">
        <v>338</v>
      </c>
      <c r="W5" s="11" t="s">
        <v>334</v>
      </c>
      <c r="AF5" s="111" t="s">
        <v>339</v>
      </c>
      <c r="AG5" s="111"/>
      <c r="AH5" s="112"/>
      <c r="AI5" s="113"/>
    </row>
    <row r="6" spans="1:197" x14ac:dyDescent="0.25">
      <c r="B6" s="11" t="s">
        <v>340</v>
      </c>
      <c r="D6" s="11" t="s">
        <v>341</v>
      </c>
      <c r="W6" s="11" t="s">
        <v>334</v>
      </c>
    </row>
    <row r="8" spans="1:197" x14ac:dyDescent="0.25">
      <c r="B8" s="114"/>
      <c r="C8" s="114"/>
      <c r="D8" s="114"/>
      <c r="E8" s="114"/>
      <c r="F8" s="114"/>
      <c r="G8" s="114"/>
      <c r="H8" s="114"/>
      <c r="I8" s="114"/>
    </row>
    <row r="9" spans="1:197" x14ac:dyDescent="0.25">
      <c r="B9" s="115" t="s">
        <v>342</v>
      </c>
      <c r="C9" s="115"/>
      <c r="D9" s="115" t="s">
        <v>343</v>
      </c>
      <c r="E9" s="115"/>
      <c r="F9" s="115"/>
      <c r="G9" s="115"/>
      <c r="H9" s="115"/>
      <c r="I9" s="115"/>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row>
    <row r="11" spans="1:197" ht="37.15" customHeight="1" x14ac:dyDescent="0.25">
      <c r="B11" s="645" t="s">
        <v>344</v>
      </c>
      <c r="C11" s="645"/>
      <c r="D11" s="645"/>
      <c r="E11" s="645"/>
      <c r="F11" s="645"/>
      <c r="G11" s="645"/>
      <c r="H11" s="645"/>
      <c r="I11" s="645"/>
      <c r="J11" s="645"/>
      <c r="K11" s="645"/>
      <c r="L11" s="645"/>
      <c r="M11" s="645"/>
      <c r="N11" s="645"/>
      <c r="O11" s="645"/>
      <c r="P11" s="645"/>
      <c r="Q11" s="645"/>
      <c r="R11" s="645"/>
      <c r="S11" s="116"/>
      <c r="T11" s="116"/>
      <c r="U11" s="116"/>
    </row>
    <row r="12" spans="1:197" ht="7.15" customHeight="1" x14ac:dyDescent="0.25"/>
    <row r="13" spans="1:197" s="12" customFormat="1" ht="15" customHeight="1" x14ac:dyDescent="0.25">
      <c r="B13" s="622" t="s">
        <v>345</v>
      </c>
      <c r="C13" s="622" t="s">
        <v>346</v>
      </c>
      <c r="D13" s="622" t="s">
        <v>347</v>
      </c>
      <c r="E13" s="622" t="s">
        <v>348</v>
      </c>
      <c r="F13" s="622" t="s">
        <v>349</v>
      </c>
      <c r="G13" s="622" t="s">
        <v>350</v>
      </c>
      <c r="H13" s="620" t="s">
        <v>351</v>
      </c>
      <c r="I13" s="621"/>
      <c r="J13" s="621"/>
      <c r="K13" s="621"/>
      <c r="L13" s="621"/>
      <c r="M13" s="621"/>
      <c r="N13" s="646"/>
      <c r="O13" s="646"/>
      <c r="P13" s="646"/>
      <c r="Q13" s="118"/>
      <c r="R13" s="118"/>
      <c r="S13" s="118"/>
      <c r="T13" s="118"/>
      <c r="U13" s="620" t="s">
        <v>222</v>
      </c>
      <c r="V13" s="621"/>
      <c r="W13" s="621"/>
      <c r="X13" s="621"/>
      <c r="Y13" s="621"/>
      <c r="Z13" s="621"/>
      <c r="AA13" s="621"/>
      <c r="AB13" s="621"/>
      <c r="AC13" s="621"/>
      <c r="AD13" s="621"/>
      <c r="AE13" s="621"/>
      <c r="AF13" s="621"/>
      <c r="AG13" s="621"/>
      <c r="AH13" s="621"/>
      <c r="AI13" s="118"/>
      <c r="AJ13" s="622" t="s">
        <v>352</v>
      </c>
      <c r="AK13" s="622" t="s">
        <v>353</v>
      </c>
      <c r="AL13" s="622" t="s">
        <v>354</v>
      </c>
    </row>
    <row r="14" spans="1:197" s="12" customFormat="1" ht="15" customHeight="1" x14ac:dyDescent="0.25">
      <c r="B14" s="623"/>
      <c r="C14" s="623"/>
      <c r="D14" s="623"/>
      <c r="E14" s="623"/>
      <c r="F14" s="623"/>
      <c r="G14" s="623"/>
      <c r="H14" s="624" t="s">
        <v>355</v>
      </c>
      <c r="I14" s="625" t="s">
        <v>356</v>
      </c>
      <c r="J14" s="626"/>
      <c r="K14" s="626"/>
      <c r="L14" s="627"/>
      <c r="M14" s="634" t="s">
        <v>357</v>
      </c>
      <c r="N14" s="635"/>
      <c r="O14" s="635"/>
      <c r="P14" s="635"/>
      <c r="Q14" s="635"/>
      <c r="R14" s="635"/>
      <c r="S14" s="635"/>
      <c r="T14" s="636"/>
      <c r="U14" s="637" t="s">
        <v>358</v>
      </c>
      <c r="V14" s="638"/>
      <c r="W14" s="638"/>
      <c r="X14" s="638"/>
      <c r="Y14" s="638"/>
      <c r="Z14" s="638"/>
      <c r="AA14" s="638"/>
      <c r="AB14" s="638"/>
      <c r="AC14" s="639"/>
      <c r="AD14" s="637" t="s">
        <v>359</v>
      </c>
      <c r="AE14" s="638"/>
      <c r="AF14" s="638"/>
      <c r="AG14" s="638"/>
      <c r="AH14" s="639"/>
      <c r="AI14" s="640" t="s">
        <v>360</v>
      </c>
      <c r="AJ14" s="623"/>
      <c r="AK14" s="623"/>
      <c r="AL14" s="623"/>
      <c r="GO14" s="13" t="s">
        <v>249</v>
      </c>
    </row>
    <row r="15" spans="1:197" s="12" customFormat="1" ht="36.75" customHeight="1" x14ac:dyDescent="0.25">
      <c r="B15" s="623"/>
      <c r="C15" s="623"/>
      <c r="D15" s="623"/>
      <c r="E15" s="623"/>
      <c r="F15" s="623"/>
      <c r="G15" s="623"/>
      <c r="H15" s="624"/>
      <c r="I15" s="628"/>
      <c r="J15" s="629"/>
      <c r="K15" s="629"/>
      <c r="L15" s="630"/>
      <c r="M15" s="647" t="s">
        <v>166</v>
      </c>
      <c r="N15" s="648"/>
      <c r="O15" s="648"/>
      <c r="P15" s="648"/>
      <c r="Q15" s="648"/>
      <c r="R15" s="649" t="s">
        <v>361</v>
      </c>
      <c r="S15" s="650"/>
      <c r="T15" s="617" t="s">
        <v>362</v>
      </c>
      <c r="U15" s="614" t="s">
        <v>363</v>
      </c>
      <c r="V15" s="619"/>
      <c r="W15" s="619"/>
      <c r="X15" s="619"/>
      <c r="Y15" s="619"/>
      <c r="Z15" s="615"/>
      <c r="AA15" s="614" t="s">
        <v>364</v>
      </c>
      <c r="AB15" s="615"/>
      <c r="AC15" s="612" t="s">
        <v>365</v>
      </c>
      <c r="AD15" s="614" t="s">
        <v>363</v>
      </c>
      <c r="AE15" s="615"/>
      <c r="AF15" s="614" t="s">
        <v>364</v>
      </c>
      <c r="AG15" s="615"/>
      <c r="AH15" s="612" t="s">
        <v>365</v>
      </c>
      <c r="AI15" s="640"/>
      <c r="AJ15" s="623"/>
      <c r="AK15" s="623"/>
      <c r="AL15" s="623"/>
      <c r="GO15" s="13"/>
    </row>
    <row r="16" spans="1:197" s="12" customFormat="1" ht="49.15" customHeight="1" x14ac:dyDescent="0.25">
      <c r="B16" s="623"/>
      <c r="C16" s="623"/>
      <c r="D16" s="623"/>
      <c r="E16" s="623"/>
      <c r="F16" s="623"/>
      <c r="G16" s="623"/>
      <c r="H16" s="624"/>
      <c r="I16" s="628"/>
      <c r="J16" s="629"/>
      <c r="K16" s="629"/>
      <c r="L16" s="630"/>
      <c r="M16" s="643" t="s">
        <v>366</v>
      </c>
      <c r="N16" s="643" t="s">
        <v>367</v>
      </c>
      <c r="O16" s="643" t="s">
        <v>368</v>
      </c>
      <c r="P16" s="643" t="s">
        <v>369</v>
      </c>
      <c r="Q16" s="641" t="s">
        <v>370</v>
      </c>
      <c r="R16" s="643" t="s">
        <v>371</v>
      </c>
      <c r="S16" s="643" t="s">
        <v>372</v>
      </c>
      <c r="T16" s="618"/>
      <c r="U16" s="614" t="s">
        <v>373</v>
      </c>
      <c r="V16" s="615"/>
      <c r="W16" s="614" t="s">
        <v>374</v>
      </c>
      <c r="X16" s="615"/>
      <c r="Y16" s="614" t="s">
        <v>375</v>
      </c>
      <c r="Z16" s="615"/>
      <c r="AA16" s="614" t="s">
        <v>375</v>
      </c>
      <c r="AB16" s="615"/>
      <c r="AC16" s="613"/>
      <c r="AD16" s="616" t="s">
        <v>376</v>
      </c>
      <c r="AE16" s="616" t="s">
        <v>377</v>
      </c>
      <c r="AF16" s="616" t="s">
        <v>376</v>
      </c>
      <c r="AG16" s="616" t="s">
        <v>377</v>
      </c>
      <c r="AH16" s="642"/>
      <c r="AI16" s="640"/>
      <c r="AJ16" s="623"/>
      <c r="AK16" s="623"/>
      <c r="AL16" s="623"/>
      <c r="GO16" s="13"/>
    </row>
    <row r="17" spans="2:38" s="12" customFormat="1" ht="15" customHeight="1" x14ac:dyDescent="0.25">
      <c r="B17" s="623"/>
      <c r="C17" s="623"/>
      <c r="D17" s="623"/>
      <c r="E17" s="623"/>
      <c r="F17" s="623"/>
      <c r="G17" s="623"/>
      <c r="H17" s="624"/>
      <c r="I17" s="631"/>
      <c r="J17" s="632"/>
      <c r="K17" s="632"/>
      <c r="L17" s="633"/>
      <c r="M17" s="644"/>
      <c r="N17" s="644"/>
      <c r="O17" s="644"/>
      <c r="P17" s="644"/>
      <c r="Q17" s="613"/>
      <c r="R17" s="644"/>
      <c r="S17" s="644"/>
      <c r="T17" s="618"/>
      <c r="U17" s="616" t="s">
        <v>376</v>
      </c>
      <c r="V17" s="616" t="s">
        <v>377</v>
      </c>
      <c r="W17" s="616" t="s">
        <v>376</v>
      </c>
      <c r="X17" s="616" t="s">
        <v>377</v>
      </c>
      <c r="Y17" s="616" t="s">
        <v>376</v>
      </c>
      <c r="Z17" s="616" t="s">
        <v>377</v>
      </c>
      <c r="AA17" s="616" t="s">
        <v>376</v>
      </c>
      <c r="AB17" s="616" t="s">
        <v>377</v>
      </c>
      <c r="AC17" s="613"/>
      <c r="AD17" s="616"/>
      <c r="AE17" s="616"/>
      <c r="AF17" s="616"/>
      <c r="AG17" s="616"/>
      <c r="AH17" s="642"/>
      <c r="AI17" s="640"/>
      <c r="AJ17" s="623"/>
      <c r="AK17" s="623"/>
      <c r="AL17" s="623"/>
    </row>
    <row r="18" spans="2:38" ht="85.5" customHeight="1" x14ac:dyDescent="0.25">
      <c r="B18" s="623"/>
      <c r="C18" s="623"/>
      <c r="D18" s="623"/>
      <c r="E18" s="623"/>
      <c r="F18" s="623"/>
      <c r="G18" s="623"/>
      <c r="H18" s="622"/>
      <c r="I18" s="117" t="s">
        <v>378</v>
      </c>
      <c r="J18" s="117" t="s">
        <v>379</v>
      </c>
      <c r="K18" s="117" t="s">
        <v>380</v>
      </c>
      <c r="L18" s="117" t="s">
        <v>381</v>
      </c>
      <c r="M18" s="644"/>
      <c r="N18" s="644"/>
      <c r="O18" s="644"/>
      <c r="P18" s="644"/>
      <c r="Q18" s="613"/>
      <c r="R18" s="644"/>
      <c r="S18" s="644"/>
      <c r="T18" s="618"/>
      <c r="U18" s="612"/>
      <c r="V18" s="612"/>
      <c r="W18" s="612"/>
      <c r="X18" s="612"/>
      <c r="Y18" s="612"/>
      <c r="Z18" s="612"/>
      <c r="AA18" s="612"/>
      <c r="AB18" s="612"/>
      <c r="AC18" s="613"/>
      <c r="AD18" s="612"/>
      <c r="AE18" s="612"/>
      <c r="AF18" s="612"/>
      <c r="AG18" s="612"/>
      <c r="AH18" s="642"/>
      <c r="AI18" s="641"/>
      <c r="AJ18" s="623"/>
      <c r="AK18" s="623"/>
      <c r="AL18" s="623"/>
    </row>
    <row r="19" spans="2:38" x14ac:dyDescent="0.25">
      <c r="B19" s="119" t="s">
        <v>382</v>
      </c>
      <c r="C19" s="119" t="s">
        <v>383</v>
      </c>
      <c r="D19" s="119" t="s">
        <v>384</v>
      </c>
      <c r="E19" s="120" t="s">
        <v>385</v>
      </c>
      <c r="F19" s="119" t="s">
        <v>386</v>
      </c>
      <c r="G19" s="119" t="s">
        <v>387</v>
      </c>
      <c r="H19" s="119" t="s">
        <v>388</v>
      </c>
      <c r="I19" s="121" t="s">
        <v>389</v>
      </c>
      <c r="J19" s="121" t="s">
        <v>390</v>
      </c>
      <c r="K19" s="121" t="s">
        <v>391</v>
      </c>
      <c r="L19" s="121" t="s">
        <v>392</v>
      </c>
      <c r="M19" s="119" t="s">
        <v>393</v>
      </c>
      <c r="N19" s="119" t="s">
        <v>394</v>
      </c>
      <c r="O19" s="119" t="s">
        <v>395</v>
      </c>
      <c r="P19" s="119" t="s">
        <v>396</v>
      </c>
      <c r="Q19" s="119" t="s">
        <v>397</v>
      </c>
      <c r="R19" s="119" t="s">
        <v>398</v>
      </c>
      <c r="S19" s="119" t="s">
        <v>399</v>
      </c>
      <c r="T19" s="119" t="s">
        <v>400</v>
      </c>
      <c r="U19" s="119" t="s">
        <v>401</v>
      </c>
      <c r="V19" s="119" t="s">
        <v>402</v>
      </c>
      <c r="W19" s="119" t="s">
        <v>403</v>
      </c>
      <c r="X19" s="119" t="s">
        <v>404</v>
      </c>
      <c r="Y19" s="119" t="s">
        <v>405</v>
      </c>
      <c r="Z19" s="119" t="s">
        <v>406</v>
      </c>
      <c r="AA19" s="119" t="s">
        <v>407</v>
      </c>
      <c r="AB19" s="119" t="s">
        <v>408</v>
      </c>
      <c r="AC19" s="119" t="s">
        <v>409</v>
      </c>
      <c r="AD19" s="119" t="s">
        <v>410</v>
      </c>
      <c r="AE19" s="119" t="s">
        <v>411</v>
      </c>
      <c r="AF19" s="119" t="s">
        <v>412</v>
      </c>
      <c r="AG19" s="119" t="s">
        <v>413</v>
      </c>
      <c r="AH19" s="119" t="s">
        <v>414</v>
      </c>
      <c r="AI19" s="119" t="s">
        <v>415</v>
      </c>
      <c r="AJ19" s="119" t="s">
        <v>416</v>
      </c>
      <c r="AK19" s="119" t="s">
        <v>417</v>
      </c>
      <c r="AL19" s="119" t="s">
        <v>418</v>
      </c>
    </row>
    <row r="20" spans="2:38" s="14" customFormat="1" x14ac:dyDescent="0.25">
      <c r="B20" s="135" t="str">
        <f>'F1948'!B25</f>
        <v>20.10.2025</v>
      </c>
      <c r="C20" s="138">
        <f>'F1948'!AH25</f>
        <v>1</v>
      </c>
      <c r="D20" s="122" t="str">
        <f>'F1948'!C25</f>
        <v>18.000.000-0</v>
      </c>
      <c r="E20" s="122"/>
      <c r="F20" s="122">
        <f>'Datos para DJ 1948'!E4</f>
        <v>8000000</v>
      </c>
      <c r="G20" s="136">
        <f>'Datos para DJ 1948'!C10</f>
        <v>1.0029999999999999</v>
      </c>
      <c r="H20" s="122">
        <f>'Datos para DJ 1948'!E10</f>
        <v>8024000</v>
      </c>
      <c r="I20" s="123">
        <f>'F1948'!F25</f>
        <v>8024000</v>
      </c>
      <c r="J20" s="123"/>
      <c r="K20" s="123"/>
      <c r="L20" s="123"/>
      <c r="M20" s="123"/>
      <c r="N20" s="124"/>
      <c r="O20" s="124"/>
      <c r="P20" s="124"/>
      <c r="Q20" s="124"/>
      <c r="R20" s="124"/>
      <c r="S20" s="124"/>
      <c r="T20" s="124"/>
      <c r="U20" s="122"/>
      <c r="V20" s="122"/>
      <c r="W20" s="122">
        <f>'F1948'!T25</f>
        <v>1485676</v>
      </c>
      <c r="X20" s="123">
        <f>'F1948'!U25</f>
        <v>57400</v>
      </c>
      <c r="Y20" s="122"/>
      <c r="Z20" s="122"/>
      <c r="AA20" s="122"/>
      <c r="AB20" s="122"/>
      <c r="AC20" s="122">
        <f>'F1948'!Z25</f>
        <v>2777539</v>
      </c>
      <c r="AD20" s="122"/>
      <c r="AE20" s="122"/>
      <c r="AF20" s="122"/>
      <c r="AG20" s="122"/>
      <c r="AH20" s="122"/>
      <c r="AI20" s="122"/>
      <c r="AJ20" s="122"/>
      <c r="AK20" s="122"/>
      <c r="AL20" s="122"/>
    </row>
    <row r="21" spans="2:38" x14ac:dyDescent="0.25">
      <c r="B21" s="125" t="s">
        <v>419</v>
      </c>
      <c r="C21" s="126"/>
      <c r="D21" s="126"/>
      <c r="E21" s="126"/>
      <c r="F21" s="126"/>
      <c r="G21" s="127" t="s">
        <v>420</v>
      </c>
      <c r="H21" s="137">
        <f>SUM(H20)</f>
        <v>8024000</v>
      </c>
      <c r="I21" s="137">
        <f>SUM(I20)</f>
        <v>8024000</v>
      </c>
      <c r="J21" s="127" t="s">
        <v>420</v>
      </c>
      <c r="K21" s="127" t="s">
        <v>420</v>
      </c>
      <c r="L21" s="127" t="s">
        <v>420</v>
      </c>
      <c r="M21" s="127" t="s">
        <v>420</v>
      </c>
      <c r="N21" s="127" t="s">
        <v>420</v>
      </c>
      <c r="O21" s="127" t="s">
        <v>420</v>
      </c>
      <c r="P21" s="127" t="s">
        <v>420</v>
      </c>
      <c r="Q21" s="127" t="s">
        <v>420</v>
      </c>
      <c r="R21" s="127" t="s">
        <v>420</v>
      </c>
      <c r="S21" s="127" t="s">
        <v>420</v>
      </c>
      <c r="T21" s="127" t="s">
        <v>420</v>
      </c>
      <c r="U21" s="127" t="s">
        <v>420</v>
      </c>
      <c r="V21" s="127" t="s">
        <v>420</v>
      </c>
      <c r="W21" s="137">
        <f t="shared" ref="W21:X21" si="0">SUM(W20)</f>
        <v>1485676</v>
      </c>
      <c r="X21" s="137">
        <f t="shared" si="0"/>
        <v>57400</v>
      </c>
      <c r="Y21" s="127" t="s">
        <v>420</v>
      </c>
      <c r="Z21" s="127" t="s">
        <v>420</v>
      </c>
      <c r="AA21" s="127" t="s">
        <v>420</v>
      </c>
      <c r="AB21" s="127" t="s">
        <v>420</v>
      </c>
      <c r="AC21" s="137">
        <f t="shared" ref="AC21" si="1">SUM(AC20)</f>
        <v>2777539</v>
      </c>
      <c r="AD21" s="127" t="s">
        <v>420</v>
      </c>
      <c r="AE21" s="127" t="s">
        <v>420</v>
      </c>
      <c r="AF21" s="127" t="s">
        <v>420</v>
      </c>
      <c r="AG21" s="127" t="s">
        <v>420</v>
      </c>
      <c r="AH21" s="127" t="s">
        <v>420</v>
      </c>
      <c r="AI21" s="127" t="s">
        <v>420</v>
      </c>
      <c r="AJ21" s="127" t="s">
        <v>420</v>
      </c>
      <c r="AK21" s="127" t="s">
        <v>420</v>
      </c>
      <c r="AL21" s="127" t="s">
        <v>420</v>
      </c>
    </row>
    <row r="22" spans="2:38" x14ac:dyDescent="0.25">
      <c r="AJ22" s="14"/>
      <c r="AK22" s="14"/>
      <c r="AL22" s="14"/>
    </row>
    <row r="23" spans="2:38" ht="15" customHeight="1" x14ac:dyDescent="0.25"/>
    <row r="24" spans="2:38" x14ac:dyDescent="0.25">
      <c r="B24" s="128" t="s">
        <v>421</v>
      </c>
      <c r="C24" s="129"/>
      <c r="D24" s="129"/>
      <c r="E24" s="129"/>
      <c r="F24" s="129"/>
      <c r="G24" s="129"/>
      <c r="H24" s="129"/>
      <c r="I24" s="129"/>
      <c r="J24" s="129"/>
      <c r="K24" s="129"/>
      <c r="L24" s="129"/>
      <c r="M24" s="129"/>
      <c r="N24" s="129"/>
      <c r="O24" s="129"/>
      <c r="P24" s="129"/>
      <c r="Q24" s="129"/>
      <c r="R24" s="129"/>
      <c r="S24" s="129"/>
      <c r="T24" s="129"/>
      <c r="U24" s="129"/>
    </row>
    <row r="25" spans="2:38" ht="15" customHeight="1" x14ac:dyDescent="0.25">
      <c r="M25" s="129"/>
      <c r="N25" s="129"/>
      <c r="O25" s="129"/>
      <c r="P25" s="129"/>
      <c r="Q25" s="129"/>
      <c r="R25" s="129"/>
      <c r="S25" s="129"/>
      <c r="T25" s="129"/>
      <c r="U25" s="129"/>
    </row>
    <row r="26" spans="2:38" x14ac:dyDescent="0.25">
      <c r="B26" s="11" t="s">
        <v>422</v>
      </c>
      <c r="C26" s="12"/>
      <c r="D26" s="12"/>
      <c r="E26" s="12"/>
      <c r="F26" s="12"/>
      <c r="M26" s="129"/>
      <c r="N26" s="129"/>
      <c r="O26" s="129"/>
      <c r="P26" s="129"/>
      <c r="Q26" s="129"/>
      <c r="R26" s="129"/>
      <c r="S26" s="129"/>
      <c r="T26" s="129"/>
      <c r="U26" s="129"/>
    </row>
    <row r="27" spans="2:38" x14ac:dyDescent="0.25">
      <c r="C27" s="12"/>
      <c r="D27" s="12"/>
      <c r="E27" s="12"/>
      <c r="F27" s="12"/>
    </row>
    <row r="28" spans="2:38" x14ac:dyDescent="0.25">
      <c r="C28" s="12"/>
      <c r="D28" s="12"/>
      <c r="E28" s="12"/>
      <c r="F28" s="12"/>
    </row>
    <row r="29" spans="2:38" x14ac:dyDescent="0.25">
      <c r="D29" s="12"/>
      <c r="E29" s="12"/>
      <c r="K29" s="130"/>
      <c r="L29" s="130"/>
      <c r="M29" s="130"/>
      <c r="N29" s="130"/>
      <c r="O29" s="130"/>
      <c r="U29" s="130"/>
      <c r="V29" s="130"/>
      <c r="W29" s="130"/>
      <c r="X29" s="130"/>
      <c r="Y29" s="130"/>
      <c r="Z29" s="130"/>
      <c r="AA29" s="130"/>
      <c r="AB29" s="130"/>
      <c r="AC29" s="130"/>
      <c r="AD29" s="130"/>
      <c r="AE29" s="130"/>
      <c r="AF29" s="130"/>
      <c r="AG29" s="130"/>
      <c r="AH29" s="130"/>
    </row>
    <row r="30" spans="2:38" ht="15" customHeight="1" x14ac:dyDescent="0.25">
      <c r="D30" s="12"/>
      <c r="E30" s="12"/>
    </row>
    <row r="31" spans="2:38" x14ac:dyDescent="0.25">
      <c r="B31" s="131"/>
      <c r="C31" s="131"/>
      <c r="D31" s="12"/>
      <c r="E31" s="12"/>
      <c r="F31" s="131"/>
      <c r="G31" s="131"/>
      <c r="H31" s="131"/>
      <c r="I31" s="131"/>
      <c r="J31" s="131"/>
      <c r="K31" s="131"/>
      <c r="M31" s="131"/>
      <c r="N31" s="132"/>
      <c r="O31" s="133"/>
      <c r="P31" s="132" t="s">
        <v>423</v>
      </c>
      <c r="Q31" s="132"/>
      <c r="R31" s="132"/>
      <c r="S31" s="132"/>
      <c r="T31" s="132"/>
      <c r="U31" s="134"/>
      <c r="V31" s="134"/>
      <c r="W31" s="134"/>
    </row>
    <row r="32" spans="2:38" x14ac:dyDescent="0.25">
      <c r="B32" s="131"/>
      <c r="C32" s="131"/>
      <c r="D32" s="12"/>
      <c r="E32" s="12"/>
      <c r="F32" s="131"/>
      <c r="G32" s="131"/>
      <c r="H32" s="131"/>
      <c r="I32" s="131"/>
      <c r="J32" s="131"/>
      <c r="K32" s="131"/>
      <c r="L32" s="131"/>
      <c r="M32" s="131"/>
      <c r="N32" s="131"/>
      <c r="O32" s="131"/>
      <c r="P32" s="131"/>
      <c r="Q32" s="131"/>
      <c r="R32" s="131"/>
      <c r="S32" s="131"/>
      <c r="T32" s="131"/>
    </row>
    <row r="33" spans="2:20" x14ac:dyDescent="0.25">
      <c r="B33" s="131"/>
      <c r="C33" s="131"/>
      <c r="D33" s="12"/>
      <c r="E33" s="12"/>
      <c r="F33" s="131"/>
      <c r="G33" s="131"/>
      <c r="H33" s="131"/>
      <c r="I33" s="131"/>
      <c r="J33" s="131"/>
      <c r="K33" s="131"/>
      <c r="L33" s="131"/>
      <c r="M33" s="131"/>
      <c r="N33" s="131"/>
      <c r="O33" s="131"/>
      <c r="P33" s="131"/>
      <c r="Q33" s="131"/>
      <c r="R33" s="131"/>
      <c r="S33" s="131"/>
      <c r="T33" s="131"/>
    </row>
    <row r="34" spans="2:20" x14ac:dyDescent="0.25">
      <c r="D34" s="12"/>
      <c r="E34" s="12"/>
      <c r="M34" s="131"/>
      <c r="N34" s="131"/>
      <c r="O34" s="131"/>
      <c r="P34" s="131"/>
      <c r="Q34" s="131"/>
      <c r="R34" s="131"/>
      <c r="S34" s="131"/>
      <c r="T34" s="131"/>
    </row>
    <row r="35" spans="2:20" ht="15" customHeight="1" x14ac:dyDescent="0.25">
      <c r="D35" s="12"/>
      <c r="E35" s="12"/>
      <c r="M35" s="131"/>
      <c r="N35" s="131"/>
      <c r="O35" s="131"/>
      <c r="P35" s="131"/>
      <c r="Q35" s="131"/>
      <c r="R35" s="131"/>
      <c r="S35" s="131"/>
      <c r="T35" s="131"/>
    </row>
    <row r="36" spans="2:20" x14ac:dyDescent="0.25">
      <c r="D36" s="12"/>
      <c r="E36" s="12"/>
      <c r="M36" s="131"/>
      <c r="N36" s="131"/>
      <c r="O36" s="131"/>
      <c r="P36" s="131"/>
      <c r="Q36" s="131"/>
      <c r="R36" s="131"/>
      <c r="S36" s="131"/>
      <c r="T36" s="131"/>
    </row>
    <row r="37" spans="2:20" x14ac:dyDescent="0.25">
      <c r="D37" s="12"/>
      <c r="E37" s="12"/>
      <c r="M37" s="131"/>
      <c r="N37" s="131"/>
      <c r="O37" s="131"/>
      <c r="P37" s="131"/>
      <c r="Q37" s="131"/>
      <c r="R37" s="131"/>
      <c r="S37" s="131"/>
      <c r="T37" s="131"/>
    </row>
    <row r="38" spans="2:20" x14ac:dyDescent="0.25">
      <c r="M38" s="131"/>
      <c r="N38" s="131"/>
      <c r="O38" s="131"/>
      <c r="P38" s="131"/>
      <c r="Q38" s="131"/>
      <c r="R38" s="131"/>
      <c r="S38" s="131"/>
      <c r="T38" s="131"/>
    </row>
    <row r="39" spans="2:20" x14ac:dyDescent="0.25">
      <c r="M39" s="131"/>
      <c r="N39" s="131"/>
      <c r="O39" s="131"/>
      <c r="P39" s="131"/>
      <c r="Q39" s="131"/>
      <c r="R39" s="131"/>
      <c r="S39" s="131"/>
      <c r="T39" s="131"/>
    </row>
  </sheetData>
  <mergeCells count="50">
    <mergeCell ref="B11:R11"/>
    <mergeCell ref="B13:B18"/>
    <mergeCell ref="C13:C18"/>
    <mergeCell ref="D13:D18"/>
    <mergeCell ref="E13:E18"/>
    <mergeCell ref="F13:F18"/>
    <mergeCell ref="G13:G18"/>
    <mergeCell ref="H13:P13"/>
    <mergeCell ref="M15:Q15"/>
    <mergeCell ref="R15:S15"/>
    <mergeCell ref="R16:R18"/>
    <mergeCell ref="S16:S18"/>
    <mergeCell ref="U13:AH13"/>
    <mergeCell ref="AJ13:AJ18"/>
    <mergeCell ref="AK13:AK18"/>
    <mergeCell ref="AL13:AL18"/>
    <mergeCell ref="H14:H18"/>
    <mergeCell ref="I14:L17"/>
    <mergeCell ref="M14:T14"/>
    <mergeCell ref="U14:AC14"/>
    <mergeCell ref="AD14:AH14"/>
    <mergeCell ref="AI14:AI18"/>
    <mergeCell ref="AH15:AH18"/>
    <mergeCell ref="M16:M18"/>
    <mergeCell ref="N16:N18"/>
    <mergeCell ref="O16:O18"/>
    <mergeCell ref="P16:P18"/>
    <mergeCell ref="Q16:Q18"/>
    <mergeCell ref="U16:V16"/>
    <mergeCell ref="W16:X16"/>
    <mergeCell ref="T15:T18"/>
    <mergeCell ref="U15:Z15"/>
    <mergeCell ref="AA15:AB15"/>
    <mergeCell ref="U17:U18"/>
    <mergeCell ref="V17:V18"/>
    <mergeCell ref="W17:W18"/>
    <mergeCell ref="X17:X18"/>
    <mergeCell ref="Y17:Y18"/>
    <mergeCell ref="Z17:Z18"/>
    <mergeCell ref="AA17:AA18"/>
    <mergeCell ref="AB17:AB18"/>
    <mergeCell ref="Y16:Z16"/>
    <mergeCell ref="AA16:AB16"/>
    <mergeCell ref="AC15:AC18"/>
    <mergeCell ref="AD15:AE15"/>
    <mergeCell ref="AF15:AG15"/>
    <mergeCell ref="AF16:AF18"/>
    <mergeCell ref="AG16:AG18"/>
    <mergeCell ref="AD16:AD18"/>
    <mergeCell ref="AE16:AE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7"/>
  <sheetViews>
    <sheetView showGridLines="0" zoomScale="90" zoomScaleNormal="90" workbookViewId="0"/>
  </sheetViews>
  <sheetFormatPr baseColWidth="10" defaultColWidth="11.42578125" defaultRowHeight="15" x14ac:dyDescent="0.25"/>
  <cols>
    <col min="1" max="1" width="4.28515625" style="16" customWidth="1"/>
    <col min="2" max="2" width="5" style="16" customWidth="1"/>
    <col min="3" max="3" width="7.140625" style="16" customWidth="1"/>
    <col min="4" max="7" width="11.42578125" style="16"/>
    <col min="8" max="8" width="16.28515625" style="16" customWidth="1"/>
    <col min="9" max="9" width="14" style="16" customWidth="1"/>
    <col min="10" max="10" width="12.85546875" style="16" customWidth="1"/>
    <col min="11" max="11" width="15.85546875" style="17" customWidth="1"/>
    <col min="12" max="12" width="12.28515625" style="16" bestFit="1" customWidth="1"/>
    <col min="13" max="13" width="13.42578125" style="16" bestFit="1" customWidth="1"/>
    <col min="14" max="16384" width="11.42578125" style="16"/>
  </cols>
  <sheetData>
    <row r="1" spans="1:20" x14ac:dyDescent="0.25">
      <c r="A1" s="49"/>
      <c r="B1" s="49"/>
      <c r="C1" s="49"/>
      <c r="D1" s="49"/>
      <c r="E1" s="49"/>
      <c r="F1" s="49"/>
      <c r="G1" s="49"/>
      <c r="H1" s="49"/>
      <c r="I1" s="49"/>
      <c r="J1" s="49"/>
      <c r="K1" s="38"/>
      <c r="L1" s="49"/>
    </row>
    <row r="2" spans="1:20" x14ac:dyDescent="0.25">
      <c r="A2" s="49"/>
      <c r="B2" s="64" t="s">
        <v>71</v>
      </c>
      <c r="C2" s="49"/>
      <c r="D2" s="49"/>
      <c r="E2" s="49"/>
      <c r="F2" s="49"/>
      <c r="G2" s="49"/>
      <c r="H2" s="49"/>
      <c r="I2" s="49"/>
      <c r="J2" s="49"/>
      <c r="K2" s="38"/>
      <c r="L2" s="49"/>
      <c r="T2" s="18"/>
    </row>
    <row r="3" spans="1:20" x14ac:dyDescent="0.25">
      <c r="A3" s="49"/>
      <c r="B3" s="49"/>
      <c r="C3" s="49"/>
      <c r="D3" s="49"/>
      <c r="E3" s="49"/>
      <c r="F3" s="49"/>
      <c r="G3" s="49"/>
      <c r="H3" s="49"/>
      <c r="I3" s="49"/>
      <c r="J3" s="49"/>
      <c r="K3" s="38"/>
      <c r="L3" s="49"/>
      <c r="O3" s="18"/>
      <c r="P3" s="18"/>
      <c r="Q3" s="18"/>
      <c r="R3" s="18"/>
      <c r="S3" s="18"/>
      <c r="T3" s="18"/>
    </row>
    <row r="4" spans="1:20" s="19" customFormat="1" ht="12.75" x14ac:dyDescent="0.2">
      <c r="A4" s="49"/>
      <c r="B4" s="49" t="s">
        <v>468</v>
      </c>
      <c r="C4" s="49"/>
      <c r="D4" s="49"/>
      <c r="E4" s="49"/>
      <c r="F4" s="49"/>
      <c r="G4" s="49"/>
      <c r="H4" s="49"/>
      <c r="I4" s="49"/>
      <c r="J4" s="49"/>
      <c r="K4" s="50" t="s">
        <v>72</v>
      </c>
      <c r="L4" s="49"/>
      <c r="O4" s="20"/>
      <c r="P4" s="20"/>
      <c r="Q4" s="20"/>
      <c r="R4" s="20"/>
      <c r="S4" s="20"/>
      <c r="T4" s="20"/>
    </row>
    <row r="5" spans="1:20" s="19" customFormat="1" ht="12.75" x14ac:dyDescent="0.2">
      <c r="A5" s="49"/>
      <c r="B5" s="49" t="s">
        <v>469</v>
      </c>
      <c r="C5" s="49"/>
      <c r="D5" s="49"/>
      <c r="E5" s="49"/>
      <c r="F5" s="49"/>
      <c r="G5" s="49"/>
      <c r="H5" s="49"/>
      <c r="I5" s="49"/>
      <c r="J5" s="49"/>
      <c r="K5" s="265">
        <v>8000</v>
      </c>
      <c r="L5" s="49"/>
      <c r="O5" s="20"/>
      <c r="P5" s="20"/>
      <c r="Q5" s="20"/>
      <c r="R5" s="20"/>
      <c r="S5" s="20"/>
      <c r="T5" s="20"/>
    </row>
    <row r="6" spans="1:20" s="19" customFormat="1" ht="12.75" x14ac:dyDescent="0.2">
      <c r="A6" s="49"/>
      <c r="B6" s="49" t="s">
        <v>470</v>
      </c>
      <c r="C6" s="49"/>
      <c r="D6" s="49"/>
      <c r="E6" s="49"/>
      <c r="F6" s="49"/>
      <c r="G6" s="49"/>
      <c r="H6" s="49"/>
      <c r="I6" s="49"/>
      <c r="J6" s="49"/>
      <c r="K6" s="65">
        <v>948.33</v>
      </c>
      <c r="L6" s="49"/>
      <c r="O6" s="20"/>
      <c r="P6" s="20"/>
      <c r="Q6" s="20"/>
      <c r="R6" s="20"/>
      <c r="S6" s="20"/>
      <c r="T6" s="20"/>
    </row>
    <row r="7" spans="1:20" s="19" customFormat="1" ht="12.75" x14ac:dyDescent="0.2">
      <c r="A7" s="49"/>
      <c r="B7" s="49" t="s">
        <v>471</v>
      </c>
      <c r="C7" s="49"/>
      <c r="D7" s="49"/>
      <c r="E7" s="49"/>
      <c r="F7" s="49"/>
      <c r="G7" s="49"/>
      <c r="H7" s="49"/>
      <c r="I7" s="49"/>
      <c r="J7" s="49"/>
      <c r="K7" s="29">
        <v>0.15</v>
      </c>
      <c r="L7" s="49"/>
      <c r="O7" s="20"/>
      <c r="P7" s="20"/>
      <c r="Q7" s="20"/>
      <c r="R7" s="20"/>
      <c r="S7" s="20"/>
      <c r="T7" s="20"/>
    </row>
    <row r="8" spans="1:20" s="19" customFormat="1" ht="12.75" x14ac:dyDescent="0.2">
      <c r="A8" s="49"/>
      <c r="B8" s="49" t="s">
        <v>472</v>
      </c>
      <c r="C8" s="49"/>
      <c r="D8" s="49"/>
      <c r="E8" s="49"/>
      <c r="F8" s="49"/>
      <c r="G8" s="49"/>
      <c r="H8" s="49"/>
      <c r="I8" s="49"/>
      <c r="J8" s="49"/>
      <c r="K8" s="29">
        <v>0.32</v>
      </c>
      <c r="L8" s="49"/>
      <c r="O8" s="20"/>
      <c r="P8" s="20"/>
      <c r="Q8" s="20"/>
      <c r="R8" s="20"/>
      <c r="S8" s="20"/>
      <c r="T8" s="20"/>
    </row>
    <row r="9" spans="1:20" x14ac:dyDescent="0.25">
      <c r="A9" s="49"/>
      <c r="B9" s="49"/>
      <c r="C9" s="49"/>
      <c r="D9" s="49"/>
      <c r="E9" s="49"/>
      <c r="F9" s="49"/>
      <c r="G9" s="49"/>
      <c r="H9" s="49"/>
      <c r="I9" s="49"/>
      <c r="J9" s="49"/>
      <c r="K9" s="52"/>
      <c r="L9" s="49"/>
      <c r="O9" s="18"/>
      <c r="P9" s="18"/>
      <c r="Q9" s="18"/>
      <c r="R9" s="18"/>
      <c r="S9" s="18"/>
      <c r="T9" s="18"/>
    </row>
    <row r="10" spans="1:20" x14ac:dyDescent="0.25">
      <c r="A10" s="49"/>
      <c r="B10" s="64" t="s">
        <v>73</v>
      </c>
      <c r="C10" s="49"/>
      <c r="D10" s="49"/>
      <c r="E10" s="49"/>
      <c r="F10" s="49"/>
      <c r="G10" s="49"/>
      <c r="H10" s="49"/>
      <c r="I10" s="49"/>
      <c r="J10" s="49"/>
      <c r="K10" s="38"/>
      <c r="L10" s="49"/>
      <c r="O10" s="18"/>
      <c r="P10" s="18"/>
      <c r="Q10" s="18"/>
      <c r="R10" s="18"/>
      <c r="S10" s="18"/>
      <c r="T10" s="18"/>
    </row>
    <row r="11" spans="1:20" x14ac:dyDescent="0.25">
      <c r="A11" s="49"/>
      <c r="B11" s="49"/>
      <c r="C11" s="49"/>
      <c r="D11" s="49"/>
      <c r="E11" s="49"/>
      <c r="F11" s="49"/>
      <c r="G11" s="49"/>
      <c r="H11" s="49"/>
      <c r="I11" s="49"/>
      <c r="J11" s="49"/>
      <c r="K11" s="38"/>
      <c r="L11" s="49"/>
      <c r="O11" s="18"/>
      <c r="P11" s="18"/>
      <c r="Q11" s="18"/>
      <c r="R11" s="18"/>
      <c r="S11" s="18"/>
      <c r="T11" s="18"/>
    </row>
    <row r="12" spans="1:20" s="270" customFormat="1" ht="18.75" customHeight="1" x14ac:dyDescent="0.25">
      <c r="A12" s="266"/>
      <c r="B12" s="267" t="s">
        <v>473</v>
      </c>
      <c r="C12" s="268"/>
      <c r="D12" s="268"/>
      <c r="E12" s="268"/>
      <c r="F12" s="268"/>
      <c r="G12" s="268"/>
      <c r="H12" s="268"/>
      <c r="I12" s="268"/>
      <c r="J12" s="268"/>
      <c r="K12" s="269"/>
      <c r="L12" s="266"/>
      <c r="O12" s="271"/>
      <c r="P12" s="271"/>
      <c r="Q12" s="271"/>
      <c r="R12" s="271"/>
      <c r="S12" s="271"/>
      <c r="T12" s="271"/>
    </row>
    <row r="13" spans="1:20" s="276" customFormat="1" ht="12.75" x14ac:dyDescent="0.25">
      <c r="A13" s="266"/>
      <c r="B13" s="272" t="s">
        <v>475</v>
      </c>
      <c r="C13" s="273"/>
      <c r="D13" s="273"/>
      <c r="E13" s="273"/>
      <c r="F13" s="273"/>
      <c r="G13" s="273"/>
      <c r="H13" s="273"/>
      <c r="I13" s="273"/>
      <c r="J13" s="274"/>
      <c r="K13" s="275">
        <f>SUM(J14:J16)</f>
        <v>7586640</v>
      </c>
      <c r="L13" s="266"/>
      <c r="O13" s="277"/>
      <c r="P13" s="277"/>
      <c r="Q13" s="277"/>
      <c r="R13" s="277"/>
      <c r="S13" s="277"/>
      <c r="T13" s="277"/>
    </row>
    <row r="14" spans="1:20" s="276" customFormat="1" ht="12.75" x14ac:dyDescent="0.25">
      <c r="A14" s="266"/>
      <c r="B14" s="278"/>
      <c r="C14" s="266" t="s">
        <v>476</v>
      </c>
      <c r="D14" s="266"/>
      <c r="E14" s="266"/>
      <c r="F14" s="266"/>
      <c r="G14" s="266"/>
      <c r="H14" s="279"/>
      <c r="I14" s="266"/>
      <c r="J14" s="280">
        <f>ROUND(K5*K6,0)</f>
        <v>7586640</v>
      </c>
      <c r="K14" s="281"/>
      <c r="L14" s="266"/>
      <c r="O14" s="277"/>
      <c r="P14" s="277"/>
      <c r="Q14" s="277"/>
      <c r="R14" s="277"/>
      <c r="S14" s="277"/>
      <c r="T14" s="277"/>
    </row>
    <row r="15" spans="1:20" s="276" customFormat="1" ht="12.75" x14ac:dyDescent="0.25">
      <c r="A15" s="266"/>
      <c r="B15" s="278"/>
      <c r="C15" s="266" t="s">
        <v>478</v>
      </c>
      <c r="D15" s="266"/>
      <c r="E15" s="266"/>
      <c r="F15" s="266"/>
      <c r="G15" s="266"/>
      <c r="H15" s="266"/>
      <c r="I15" s="266"/>
      <c r="J15" s="300">
        <v>0</v>
      </c>
      <c r="K15" s="281"/>
      <c r="L15" s="266"/>
      <c r="O15" s="277"/>
      <c r="P15" s="277"/>
      <c r="Q15" s="277"/>
      <c r="R15" s="277"/>
      <c r="S15" s="277"/>
      <c r="T15" s="277"/>
    </row>
    <row r="16" spans="1:20" s="276" customFormat="1" ht="12.75" x14ac:dyDescent="0.25">
      <c r="A16" s="266"/>
      <c r="B16" s="282"/>
      <c r="C16" s="525" t="s">
        <v>477</v>
      </c>
      <c r="D16" s="525"/>
      <c r="E16" s="525"/>
      <c r="F16" s="525"/>
      <c r="G16" s="525"/>
      <c r="H16" s="525"/>
      <c r="I16" s="525"/>
      <c r="J16" s="301">
        <v>0</v>
      </c>
      <c r="K16" s="284"/>
      <c r="L16" s="266"/>
      <c r="O16" s="277"/>
      <c r="P16" s="277"/>
      <c r="Q16" s="277"/>
      <c r="R16" s="277"/>
      <c r="S16" s="277"/>
      <c r="T16" s="277"/>
    </row>
    <row r="17" spans="1:20" s="276" customFormat="1" ht="5.25" customHeight="1" x14ac:dyDescent="0.25">
      <c r="A17" s="266"/>
      <c r="B17" s="266"/>
      <c r="C17" s="266"/>
      <c r="D17" s="266"/>
      <c r="E17" s="266"/>
      <c r="F17" s="266"/>
      <c r="G17" s="266"/>
      <c r="H17" s="266"/>
      <c r="I17" s="266"/>
      <c r="J17" s="279"/>
      <c r="K17" s="285"/>
      <c r="L17" s="266"/>
      <c r="O17" s="277"/>
      <c r="P17" s="277"/>
      <c r="Q17" s="277"/>
      <c r="R17" s="277"/>
      <c r="S17" s="277"/>
      <c r="T17" s="277"/>
    </row>
    <row r="18" spans="1:20" s="276" customFormat="1" ht="12.75" x14ac:dyDescent="0.25">
      <c r="A18" s="266"/>
      <c r="B18" s="272" t="s">
        <v>484</v>
      </c>
      <c r="C18" s="273"/>
      <c r="D18" s="273"/>
      <c r="E18" s="273"/>
      <c r="F18" s="273"/>
      <c r="G18" s="273"/>
      <c r="H18" s="273"/>
      <c r="I18" s="273"/>
      <c r="J18" s="274"/>
      <c r="K18" s="275">
        <f>MIN(J19:J22)</f>
        <v>4593986</v>
      </c>
      <c r="L18" s="266"/>
      <c r="O18" s="277"/>
      <c r="P18" s="277"/>
      <c r="Q18" s="277"/>
      <c r="R18" s="277"/>
      <c r="S18" s="277"/>
      <c r="T18" s="277"/>
    </row>
    <row r="19" spans="1:20" s="276" customFormat="1" ht="12.75" x14ac:dyDescent="0.25">
      <c r="A19" s="266"/>
      <c r="B19" s="278"/>
      <c r="C19" s="266" t="s">
        <v>479</v>
      </c>
      <c r="D19" s="266"/>
      <c r="E19" s="266"/>
      <c r="F19" s="266"/>
      <c r="G19" s="266"/>
      <c r="H19" s="266"/>
      <c r="I19" s="279"/>
      <c r="J19" s="281">
        <f>SUM(I20:I21)</f>
        <v>5539035</v>
      </c>
      <c r="K19" s="281"/>
      <c r="L19" s="286"/>
      <c r="O19" s="277"/>
      <c r="P19" s="277"/>
      <c r="Q19" s="277"/>
      <c r="R19" s="277"/>
      <c r="S19" s="277"/>
      <c r="T19" s="277"/>
    </row>
    <row r="20" spans="1:20" s="276" customFormat="1" ht="12.75" x14ac:dyDescent="0.25">
      <c r="A20" s="266"/>
      <c r="B20" s="278"/>
      <c r="C20" s="266"/>
      <c r="D20" s="266" t="s">
        <v>480</v>
      </c>
      <c r="E20" s="266"/>
      <c r="F20" s="266"/>
      <c r="G20" s="266"/>
      <c r="H20" s="266"/>
      <c r="I20" s="287">
        <f>ROUND(K5*K6/(1-K7)*K7,0)</f>
        <v>1338819</v>
      </c>
      <c r="J20" s="288"/>
      <c r="K20" s="281"/>
      <c r="L20" s="289"/>
      <c r="M20" s="290"/>
      <c r="O20" s="277"/>
      <c r="P20" s="277"/>
      <c r="Q20" s="277"/>
      <c r="R20" s="277"/>
      <c r="S20" s="277"/>
      <c r="T20" s="277"/>
    </row>
    <row r="21" spans="1:20" s="276" customFormat="1" ht="12.75" x14ac:dyDescent="0.25">
      <c r="A21" s="266"/>
      <c r="B21" s="278"/>
      <c r="C21" s="266"/>
      <c r="D21" s="266" t="s">
        <v>481</v>
      </c>
      <c r="E21" s="266"/>
      <c r="F21" s="266"/>
      <c r="G21" s="266"/>
      <c r="H21" s="266"/>
      <c r="I21" s="287">
        <f>ROUND((K5*K6/(1-K7))/(1-K8)*K8,0)</f>
        <v>4200216</v>
      </c>
      <c r="J21" s="288"/>
      <c r="K21" s="281"/>
      <c r="L21" s="266"/>
      <c r="O21" s="277"/>
      <c r="P21" s="277"/>
      <c r="Q21" s="277"/>
      <c r="R21" s="277"/>
      <c r="S21" s="277"/>
      <c r="T21" s="277"/>
    </row>
    <row r="22" spans="1:20" s="276" customFormat="1" ht="15.75" customHeight="1" x14ac:dyDescent="0.25">
      <c r="A22" s="266"/>
      <c r="B22" s="282"/>
      <c r="C22" s="283" t="s">
        <v>482</v>
      </c>
      <c r="D22" s="283"/>
      <c r="E22" s="283"/>
      <c r="F22" s="283"/>
      <c r="G22" s="283"/>
      <c r="H22" s="283"/>
      <c r="I22" s="291"/>
      <c r="J22" s="284">
        <f>ROUND((J14+J19)*0.35,0)</f>
        <v>4593986</v>
      </c>
      <c r="K22" s="284"/>
      <c r="L22" s="289"/>
      <c r="M22" s="277"/>
    </row>
    <row r="23" spans="1:20" s="276" customFormat="1" ht="5.25" customHeight="1" x14ac:dyDescent="0.25">
      <c r="A23" s="266"/>
      <c r="B23" s="266"/>
      <c r="C23" s="266"/>
      <c r="D23" s="266"/>
      <c r="E23" s="266"/>
      <c r="F23" s="266"/>
      <c r="G23" s="266"/>
      <c r="H23" s="266"/>
      <c r="I23" s="266"/>
      <c r="J23" s="279"/>
      <c r="K23" s="285"/>
      <c r="L23" s="266"/>
    </row>
    <row r="24" spans="1:20" s="276" customFormat="1" ht="12.75" x14ac:dyDescent="0.25">
      <c r="A24" s="266"/>
      <c r="B24" s="272" t="s">
        <v>483</v>
      </c>
      <c r="C24" s="273"/>
      <c r="D24" s="273"/>
      <c r="E24" s="273"/>
      <c r="F24" s="273"/>
      <c r="G24" s="273"/>
      <c r="H24" s="273"/>
      <c r="I24" s="292">
        <f>SUM(H25:H26)</f>
        <v>12180626</v>
      </c>
      <c r="J24" s="293" t="s">
        <v>74</v>
      </c>
      <c r="K24" s="275">
        <f>ROUND(I24*35%,0)</f>
        <v>4263219</v>
      </c>
      <c r="L24" s="266"/>
    </row>
    <row r="25" spans="1:20" s="276" customFormat="1" ht="12.75" x14ac:dyDescent="0.25">
      <c r="A25" s="266"/>
      <c r="B25" s="278"/>
      <c r="C25" s="266" t="s">
        <v>485</v>
      </c>
      <c r="D25" s="266"/>
      <c r="E25" s="266"/>
      <c r="F25" s="266"/>
      <c r="G25" s="266"/>
      <c r="H25" s="287">
        <f>K13</f>
        <v>7586640</v>
      </c>
      <c r="I25" s="266"/>
      <c r="J25" s="288"/>
      <c r="K25" s="281"/>
      <c r="L25" s="266"/>
    </row>
    <row r="26" spans="1:20" s="276" customFormat="1" ht="12.75" x14ac:dyDescent="0.25">
      <c r="A26" s="266"/>
      <c r="B26" s="282"/>
      <c r="C26" s="283" t="s">
        <v>486</v>
      </c>
      <c r="D26" s="283"/>
      <c r="E26" s="283"/>
      <c r="F26" s="283"/>
      <c r="G26" s="283"/>
      <c r="H26" s="294">
        <f>K18</f>
        <v>4593986</v>
      </c>
      <c r="I26" s="283"/>
      <c r="J26" s="295"/>
      <c r="K26" s="284"/>
      <c r="L26" s="266"/>
    </row>
    <row r="27" spans="1:20" s="276" customFormat="1" ht="5.25" customHeight="1" x14ac:dyDescent="0.25">
      <c r="A27" s="266"/>
      <c r="B27" s="266"/>
      <c r="C27" s="266"/>
      <c r="D27" s="266"/>
      <c r="E27" s="266"/>
      <c r="F27" s="266"/>
      <c r="G27" s="266"/>
      <c r="H27" s="266"/>
      <c r="I27" s="266"/>
      <c r="J27" s="279"/>
      <c r="K27" s="285"/>
      <c r="L27" s="266"/>
    </row>
    <row r="28" spans="1:20" s="276" customFormat="1" ht="12.75" x14ac:dyDescent="0.25">
      <c r="A28" s="266"/>
      <c r="B28" s="272" t="s">
        <v>487</v>
      </c>
      <c r="C28" s="273"/>
      <c r="D28" s="273"/>
      <c r="E28" s="273"/>
      <c r="F28" s="273"/>
      <c r="G28" s="273"/>
      <c r="H28" s="273"/>
      <c r="I28" s="273"/>
      <c r="J28" s="274"/>
      <c r="K28" s="275">
        <f>MIN(J29:J30)</f>
        <v>4263219</v>
      </c>
      <c r="L28" s="266"/>
    </row>
    <row r="29" spans="1:20" s="276" customFormat="1" ht="14.25" customHeight="1" x14ac:dyDescent="0.25">
      <c r="A29" s="266"/>
      <c r="B29" s="278"/>
      <c r="C29" s="266" t="s">
        <v>488</v>
      </c>
      <c r="D29" s="266"/>
      <c r="E29" s="266"/>
      <c r="F29" s="266"/>
      <c r="G29" s="266"/>
      <c r="H29" s="266"/>
      <c r="I29" s="266"/>
      <c r="J29" s="281">
        <f>K18</f>
        <v>4593986</v>
      </c>
      <c r="K29" s="281"/>
      <c r="L29" s="266"/>
    </row>
    <row r="30" spans="1:20" s="276" customFormat="1" ht="14.25" customHeight="1" x14ac:dyDescent="0.25">
      <c r="A30" s="266"/>
      <c r="B30" s="282"/>
      <c r="C30" s="283" t="s">
        <v>489</v>
      </c>
      <c r="D30" s="283"/>
      <c r="E30" s="283"/>
      <c r="F30" s="283"/>
      <c r="G30" s="283"/>
      <c r="H30" s="283"/>
      <c r="I30" s="283"/>
      <c r="J30" s="284">
        <f>K24</f>
        <v>4263219</v>
      </c>
      <c r="K30" s="284"/>
      <c r="L30" s="266"/>
    </row>
    <row r="31" spans="1:20" s="270" customFormat="1" ht="5.25" customHeight="1" x14ac:dyDescent="0.25">
      <c r="A31" s="266"/>
      <c r="B31" s="266"/>
      <c r="C31" s="266"/>
      <c r="D31" s="266"/>
      <c r="E31" s="266"/>
      <c r="F31" s="266"/>
      <c r="G31" s="266"/>
      <c r="H31" s="266"/>
      <c r="I31" s="266"/>
      <c r="J31" s="279"/>
      <c r="K31" s="285"/>
      <c r="L31" s="266"/>
    </row>
    <row r="32" spans="1:20" s="276" customFormat="1" ht="12.75" x14ac:dyDescent="0.25">
      <c r="A32" s="266"/>
      <c r="B32" s="272" t="s">
        <v>546</v>
      </c>
      <c r="C32" s="273"/>
      <c r="D32" s="273"/>
      <c r="E32" s="273"/>
      <c r="F32" s="273"/>
      <c r="G32" s="273"/>
      <c r="H32" s="273"/>
      <c r="I32" s="273"/>
      <c r="J32" s="274"/>
      <c r="K32" s="275">
        <f>SUM(J33:J34)</f>
        <v>11849859</v>
      </c>
      <c r="L32" s="266"/>
      <c r="M32" s="277"/>
    </row>
    <row r="33" spans="1:12" s="276" customFormat="1" ht="15.75" customHeight="1" x14ac:dyDescent="0.25">
      <c r="A33" s="266"/>
      <c r="B33" s="278"/>
      <c r="C33" s="266" t="s">
        <v>485</v>
      </c>
      <c r="D33" s="266"/>
      <c r="E33" s="266"/>
      <c r="F33" s="266"/>
      <c r="G33" s="266"/>
      <c r="H33" s="266"/>
      <c r="I33" s="266"/>
      <c r="J33" s="281">
        <f>K13</f>
        <v>7586640</v>
      </c>
      <c r="K33" s="281"/>
      <c r="L33" s="266"/>
    </row>
    <row r="34" spans="1:12" s="276" customFormat="1" ht="15.75" customHeight="1" x14ac:dyDescent="0.25">
      <c r="A34" s="266"/>
      <c r="B34" s="282"/>
      <c r="C34" s="283" t="s">
        <v>492</v>
      </c>
      <c r="D34" s="283"/>
      <c r="E34" s="283"/>
      <c r="F34" s="283"/>
      <c r="G34" s="283"/>
      <c r="H34" s="283"/>
      <c r="I34" s="283"/>
      <c r="J34" s="284">
        <f>K28</f>
        <v>4263219</v>
      </c>
      <c r="K34" s="284"/>
      <c r="L34" s="266"/>
    </row>
    <row r="35" spans="1:12" s="276" customFormat="1" ht="16.5" customHeight="1" x14ac:dyDescent="0.25">
      <c r="A35" s="266"/>
      <c r="B35" s="266"/>
      <c r="C35" s="266"/>
      <c r="D35" s="266"/>
      <c r="E35" s="266"/>
      <c r="F35" s="266"/>
      <c r="G35" s="266"/>
      <c r="H35" s="266"/>
      <c r="I35" s="266"/>
      <c r="J35" s="279"/>
      <c r="K35" s="285"/>
      <c r="L35" s="266"/>
    </row>
    <row r="36" spans="1:12" s="270" customFormat="1" ht="18.75" customHeight="1" x14ac:dyDescent="0.25">
      <c r="A36" s="266"/>
      <c r="B36" s="267" t="s">
        <v>474</v>
      </c>
      <c r="C36" s="268"/>
      <c r="D36" s="268"/>
      <c r="E36" s="268"/>
      <c r="F36" s="268"/>
      <c r="G36" s="268"/>
      <c r="H36" s="268"/>
      <c r="I36" s="268"/>
      <c r="J36" s="296"/>
      <c r="K36" s="269"/>
      <c r="L36" s="266"/>
    </row>
    <row r="37" spans="1:12" s="276" customFormat="1" ht="15" customHeight="1" x14ac:dyDescent="0.25">
      <c r="A37" s="266"/>
      <c r="B37" s="278" t="s">
        <v>490</v>
      </c>
      <c r="C37" s="266"/>
      <c r="D37" s="266"/>
      <c r="E37" s="266"/>
      <c r="F37" s="266"/>
      <c r="G37" s="266"/>
      <c r="H37" s="266"/>
      <c r="I37" s="266"/>
      <c r="J37" s="297"/>
      <c r="K37" s="281"/>
      <c r="L37" s="266"/>
    </row>
    <row r="38" spans="1:12" s="276" customFormat="1" ht="15" customHeight="1" x14ac:dyDescent="0.25">
      <c r="A38" s="266"/>
      <c r="B38" s="282"/>
      <c r="C38" s="283" t="s">
        <v>494</v>
      </c>
      <c r="D38" s="283"/>
      <c r="E38" s="283"/>
      <c r="F38" s="283"/>
      <c r="G38" s="283"/>
      <c r="H38" s="283"/>
      <c r="I38" s="283"/>
      <c r="J38" s="298"/>
      <c r="K38" s="284">
        <f>ROUND(K32*12.5%,0)</f>
        <v>1481232</v>
      </c>
      <c r="L38" s="266"/>
    </row>
    <row r="39" spans="1:12" s="276" customFormat="1" ht="15" customHeight="1" x14ac:dyDescent="0.25">
      <c r="A39" s="266"/>
      <c r="B39" s="278" t="s">
        <v>491</v>
      </c>
      <c r="C39" s="266"/>
      <c r="D39" s="266"/>
      <c r="E39" s="266"/>
      <c r="F39" s="266"/>
      <c r="G39" s="266"/>
      <c r="H39" s="266"/>
      <c r="I39" s="266"/>
      <c r="J39" s="299"/>
      <c r="K39" s="281"/>
      <c r="L39" s="266"/>
    </row>
    <row r="40" spans="1:12" s="276" customFormat="1" ht="15" customHeight="1" x14ac:dyDescent="0.25">
      <c r="A40" s="266"/>
      <c r="B40" s="282"/>
      <c r="C40" s="283" t="s">
        <v>493</v>
      </c>
      <c r="D40" s="283"/>
      <c r="E40" s="283"/>
      <c r="F40" s="283"/>
      <c r="G40" s="283"/>
      <c r="H40" s="283"/>
      <c r="I40" s="283"/>
      <c r="J40" s="298"/>
      <c r="K40" s="284">
        <f>K28-K38</f>
        <v>2781987</v>
      </c>
      <c r="L40" s="266"/>
    </row>
    <row r="41" spans="1:12" x14ac:dyDescent="0.25">
      <c r="A41" s="49"/>
      <c r="B41" s="49"/>
      <c r="C41" s="49"/>
      <c r="D41" s="49"/>
      <c r="E41" s="49"/>
      <c r="F41" s="49"/>
      <c r="G41" s="49"/>
      <c r="H41" s="49"/>
      <c r="I41" s="49"/>
      <c r="J41" s="49"/>
      <c r="K41" s="38"/>
      <c r="L41" s="49"/>
    </row>
    <row r="42" spans="1:12" x14ac:dyDescent="0.25">
      <c r="A42" s="49"/>
      <c r="B42" s="49"/>
      <c r="C42" s="49"/>
      <c r="D42" s="49"/>
      <c r="E42" s="49"/>
      <c r="F42" s="51"/>
      <c r="G42" s="51"/>
      <c r="H42" s="51"/>
      <c r="I42" s="51"/>
      <c r="J42" s="51"/>
      <c r="K42" s="38"/>
      <c r="L42" s="49"/>
    </row>
    <row r="43" spans="1:12" x14ac:dyDescent="0.25">
      <c r="A43" s="49"/>
      <c r="B43" s="49"/>
      <c r="C43" s="49"/>
      <c r="D43" s="49"/>
      <c r="E43" s="49"/>
      <c r="F43" s="51"/>
      <c r="G43" s="51"/>
      <c r="H43" s="51"/>
      <c r="I43" s="51"/>
      <c r="J43" s="51"/>
      <c r="K43" s="38"/>
      <c r="L43" s="49"/>
    </row>
    <row r="44" spans="1:12" x14ac:dyDescent="0.25">
      <c r="F44" s="18"/>
      <c r="G44" s="18"/>
      <c r="H44" s="18"/>
      <c r="I44" s="18"/>
      <c r="J44" s="18"/>
    </row>
    <row r="45" spans="1:12" x14ac:dyDescent="0.25">
      <c r="F45" s="18"/>
      <c r="G45" s="18"/>
      <c r="H45" s="18"/>
      <c r="I45" s="18"/>
      <c r="J45" s="18"/>
    </row>
    <row r="46" spans="1:12" x14ac:dyDescent="0.25">
      <c r="F46" s="18"/>
      <c r="G46" s="18"/>
      <c r="H46" s="18"/>
      <c r="I46" s="18"/>
      <c r="J46" s="18"/>
    </row>
    <row r="47" spans="1:12" x14ac:dyDescent="0.25">
      <c r="F47" s="18"/>
      <c r="G47" s="18"/>
      <c r="H47" s="18"/>
      <c r="I47" s="18"/>
      <c r="J47" s="18"/>
    </row>
    <row r="48" spans="1:12" x14ac:dyDescent="0.25">
      <c r="F48" s="18"/>
      <c r="G48" s="18"/>
      <c r="H48" s="18"/>
      <c r="I48" s="18"/>
      <c r="J48" s="18"/>
    </row>
    <row r="49" spans="6:10" x14ac:dyDescent="0.25">
      <c r="F49" s="18"/>
      <c r="G49" s="18"/>
      <c r="H49" s="18"/>
      <c r="I49" s="18"/>
      <c r="J49" s="18"/>
    </row>
    <row r="50" spans="6:10" x14ac:dyDescent="0.25">
      <c r="F50" s="18"/>
      <c r="G50" s="18"/>
      <c r="H50" s="18"/>
      <c r="I50" s="18"/>
      <c r="J50" s="18"/>
    </row>
    <row r="51" spans="6:10" x14ac:dyDescent="0.25">
      <c r="F51" s="18"/>
      <c r="G51" s="18"/>
      <c r="H51" s="18"/>
      <c r="I51" s="18"/>
      <c r="J51" s="18"/>
    </row>
    <row r="52" spans="6:10" x14ac:dyDescent="0.25">
      <c r="F52" s="18"/>
      <c r="G52" s="18"/>
      <c r="H52" s="18"/>
      <c r="I52" s="18"/>
      <c r="J52" s="18"/>
    </row>
    <row r="53" spans="6:10" x14ac:dyDescent="0.25">
      <c r="F53" s="18"/>
      <c r="G53" s="18"/>
      <c r="H53" s="18"/>
      <c r="I53" s="18"/>
      <c r="J53" s="18"/>
    </row>
    <row r="54" spans="6:10" x14ac:dyDescent="0.25">
      <c r="F54" s="18"/>
      <c r="G54" s="18"/>
      <c r="H54" s="18"/>
      <c r="I54" s="18"/>
      <c r="J54" s="18"/>
    </row>
    <row r="55" spans="6:10" x14ac:dyDescent="0.25">
      <c r="F55" s="18"/>
      <c r="G55" s="18"/>
      <c r="H55" s="18"/>
      <c r="I55" s="18"/>
      <c r="J55" s="18"/>
    </row>
    <row r="56" spans="6:10" x14ac:dyDescent="0.25">
      <c r="F56" s="18"/>
      <c r="G56" s="18"/>
      <c r="H56" s="18"/>
      <c r="I56" s="18"/>
      <c r="J56" s="18"/>
    </row>
    <row r="57" spans="6:10" x14ac:dyDescent="0.25">
      <c r="F57" s="18"/>
      <c r="G57" s="18"/>
      <c r="H57" s="18"/>
      <c r="I57" s="18"/>
      <c r="J57" s="18"/>
    </row>
    <row r="58" spans="6:10" x14ac:dyDescent="0.25">
      <c r="F58" s="18"/>
      <c r="G58" s="18"/>
      <c r="H58" s="18"/>
      <c r="I58" s="18"/>
      <c r="J58" s="18"/>
    </row>
    <row r="59" spans="6:10" x14ac:dyDescent="0.25">
      <c r="F59" s="18"/>
      <c r="G59" s="18"/>
      <c r="H59" s="18"/>
      <c r="I59" s="18"/>
      <c r="J59" s="18"/>
    </row>
    <row r="60" spans="6:10" x14ac:dyDescent="0.25">
      <c r="F60" s="18"/>
      <c r="G60" s="18"/>
      <c r="H60" s="18"/>
      <c r="I60" s="18"/>
      <c r="J60" s="18"/>
    </row>
    <row r="61" spans="6:10" x14ac:dyDescent="0.25">
      <c r="F61" s="18"/>
      <c r="G61" s="18"/>
      <c r="H61" s="18"/>
      <c r="I61" s="18"/>
      <c r="J61" s="18"/>
    </row>
    <row r="62" spans="6:10" x14ac:dyDescent="0.25">
      <c r="F62" s="18"/>
      <c r="G62" s="18"/>
      <c r="H62" s="18"/>
      <c r="I62" s="18"/>
      <c r="J62" s="18"/>
    </row>
    <row r="63" spans="6:10" x14ac:dyDescent="0.25">
      <c r="F63" s="18"/>
      <c r="G63" s="18"/>
      <c r="H63" s="18"/>
      <c r="I63" s="18"/>
      <c r="J63" s="18"/>
    </row>
    <row r="64" spans="6:10" x14ac:dyDescent="0.25">
      <c r="F64" s="18"/>
      <c r="G64" s="18"/>
      <c r="H64" s="18"/>
      <c r="I64" s="18"/>
      <c r="J64" s="18"/>
    </row>
    <row r="65" spans="6:10" x14ac:dyDescent="0.25">
      <c r="F65" s="18"/>
      <c r="G65" s="18"/>
      <c r="H65" s="18"/>
      <c r="I65" s="18"/>
      <c r="J65" s="18"/>
    </row>
    <row r="66" spans="6:10" x14ac:dyDescent="0.25">
      <c r="F66" s="18"/>
      <c r="G66" s="18"/>
      <c r="H66" s="18"/>
      <c r="I66" s="18"/>
      <c r="J66" s="18"/>
    </row>
    <row r="67" spans="6:10" x14ac:dyDescent="0.25">
      <c r="F67" s="18"/>
      <c r="G67" s="18"/>
      <c r="H67" s="18"/>
      <c r="I67" s="18"/>
      <c r="J67" s="18"/>
    </row>
  </sheetData>
  <mergeCells count="1">
    <mergeCell ref="C16:I16"/>
  </mergeCells>
  <phoneticPr fontId="17" type="noConversion"/>
  <printOptions horizontalCentered="1"/>
  <pageMargins left="0.36" right="0.4" top="0.4" bottom="0.74803149606299213" header="0.31496062992125984" footer="0.31496062992125984"/>
  <pageSetup paperSize="9" orientation="portrait"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GG107"/>
  <sheetViews>
    <sheetView showGridLines="0" zoomScale="90" zoomScaleNormal="90" zoomScalePageLayoutView="90" workbookViewId="0"/>
  </sheetViews>
  <sheetFormatPr baseColWidth="10" defaultColWidth="9.140625" defaultRowHeight="15" x14ac:dyDescent="0.25"/>
  <cols>
    <col min="1" max="1" width="4.42578125" style="1" customWidth="1"/>
    <col min="2" max="2" width="4.42578125" style="305" customWidth="1"/>
    <col min="3" max="3" width="6" bestFit="1" customWidth="1"/>
    <col min="4" max="4" width="10" style="1" customWidth="1"/>
    <col min="5" max="5" width="14.140625" style="1" customWidth="1"/>
    <col min="6" max="6" width="16.85546875" style="1" customWidth="1"/>
    <col min="7" max="7" width="14" style="1" customWidth="1"/>
    <col min="8" max="8" width="16.42578125" style="1" customWidth="1"/>
    <col min="9" max="9" width="12.85546875" style="1" customWidth="1"/>
    <col min="10" max="10" width="19.7109375" style="1" customWidth="1"/>
    <col min="11" max="11" width="16.28515625" style="1" customWidth="1"/>
    <col min="12" max="12" width="20.140625" style="1" customWidth="1"/>
    <col min="13" max="13" width="12.42578125" style="1" customWidth="1"/>
    <col min="14" max="14" width="13.42578125" style="1" customWidth="1"/>
    <col min="15" max="15" width="10.85546875" style="1" customWidth="1"/>
    <col min="16" max="16" width="11.85546875" style="1" customWidth="1"/>
    <col min="17" max="16384" width="9.140625" style="1"/>
  </cols>
  <sheetData>
    <row r="1" spans="1:189" x14ac:dyDescent="0.25">
      <c r="A1" s="22"/>
      <c r="B1" s="311"/>
      <c r="C1" s="194"/>
      <c r="D1" s="22"/>
      <c r="E1" s="22"/>
      <c r="F1" s="22"/>
      <c r="G1" s="22"/>
      <c r="H1" s="22"/>
      <c r="I1" s="22"/>
      <c r="J1" s="22"/>
      <c r="K1" s="22"/>
      <c r="L1" s="22"/>
    </row>
    <row r="2" spans="1:189" ht="23.25" customHeight="1" x14ac:dyDescent="0.25">
      <c r="A2" s="308"/>
      <c r="B2" s="526" t="s">
        <v>496</v>
      </c>
      <c r="C2" s="527"/>
      <c r="D2" s="530" t="s">
        <v>501</v>
      </c>
      <c r="E2" s="531"/>
      <c r="F2" s="531"/>
      <c r="G2" s="531"/>
      <c r="H2" s="531"/>
      <c r="I2" s="531"/>
      <c r="J2" s="531"/>
      <c r="K2" s="532"/>
      <c r="L2" s="22"/>
    </row>
    <row r="3" spans="1:189" ht="11.25" customHeight="1" x14ac:dyDescent="0.25">
      <c r="A3" s="308"/>
      <c r="B3" s="526"/>
      <c r="C3" s="527"/>
      <c r="D3" s="533"/>
      <c r="E3" s="534"/>
      <c r="F3" s="534"/>
      <c r="G3" s="534"/>
      <c r="H3" s="534"/>
      <c r="I3" s="534"/>
      <c r="J3" s="534"/>
      <c r="K3" s="535"/>
      <c r="L3" s="22"/>
    </row>
    <row r="4" spans="1:189" x14ac:dyDescent="0.25">
      <c r="A4" s="240"/>
      <c r="B4" s="528"/>
      <c r="C4" s="529"/>
      <c r="D4" s="338" t="s">
        <v>500</v>
      </c>
      <c r="E4" s="321"/>
      <c r="F4" s="321"/>
      <c r="G4" s="321"/>
      <c r="H4" s="321"/>
      <c r="I4" s="321"/>
      <c r="J4" s="322"/>
      <c r="K4" s="339" t="s">
        <v>75</v>
      </c>
      <c r="L4" s="22"/>
    </row>
    <row r="5" spans="1:189" x14ac:dyDescent="0.25">
      <c r="A5" s="240"/>
      <c r="B5" s="312" t="s">
        <v>497</v>
      </c>
      <c r="C5" s="422">
        <f>'R17 '!C5</f>
        <v>1400</v>
      </c>
      <c r="D5" s="161" t="s">
        <v>9</v>
      </c>
      <c r="E5" s="162"/>
      <c r="F5" s="53"/>
      <c r="G5" s="54"/>
      <c r="H5" s="54"/>
      <c r="I5" s="54"/>
      <c r="J5" s="310"/>
      <c r="K5" s="307">
        <f>+Antecedentes!$L$15</f>
        <v>95000000</v>
      </c>
      <c r="L5" s="22"/>
    </row>
    <row r="6" spans="1:189" x14ac:dyDescent="0.25">
      <c r="A6" s="240"/>
      <c r="B6" s="313" t="s">
        <v>497</v>
      </c>
      <c r="C6" s="422">
        <f>'R17 '!C10</f>
        <v>1587</v>
      </c>
      <c r="D6" s="538" t="s">
        <v>77</v>
      </c>
      <c r="E6" s="539"/>
      <c r="F6" s="539"/>
      <c r="G6" s="539"/>
      <c r="H6" s="539"/>
      <c r="I6" s="539"/>
      <c r="J6" s="540"/>
      <c r="K6" s="308">
        <f>+Antecedentes!K17</f>
        <v>5000000</v>
      </c>
      <c r="L6" s="22"/>
    </row>
    <row r="7" spans="1:189" x14ac:dyDescent="0.25">
      <c r="A7" s="240"/>
      <c r="B7" s="313" t="s">
        <v>497</v>
      </c>
      <c r="C7" s="423">
        <v>1817</v>
      </c>
      <c r="D7" s="342" t="s">
        <v>78</v>
      </c>
      <c r="E7" s="306"/>
      <c r="F7" s="306"/>
      <c r="G7" s="306"/>
      <c r="H7" s="306"/>
      <c r="I7" s="306"/>
      <c r="J7" s="309"/>
      <c r="K7" s="331">
        <f>Antecedentes!$L$18</f>
        <v>8000000</v>
      </c>
      <c r="L7" s="22"/>
    </row>
    <row r="8" spans="1:189" x14ac:dyDescent="0.25">
      <c r="A8" s="240"/>
      <c r="B8" s="313" t="s">
        <v>498</v>
      </c>
      <c r="C8" s="423"/>
      <c r="D8" s="344" t="s">
        <v>428</v>
      </c>
      <c r="E8" s="345"/>
      <c r="F8" s="345"/>
      <c r="G8" s="345"/>
      <c r="H8" s="345"/>
      <c r="I8" s="345"/>
      <c r="J8" s="346"/>
      <c r="K8" s="347">
        <f>SUM(K5:K7)</f>
        <v>108000000</v>
      </c>
      <c r="L8" s="22"/>
    </row>
    <row r="9" spans="1:189" x14ac:dyDescent="0.25">
      <c r="A9" s="240"/>
      <c r="B9" s="313" t="s">
        <v>497</v>
      </c>
      <c r="C9" s="422">
        <f>'R17 '!C7</f>
        <v>1401</v>
      </c>
      <c r="D9" s="160" t="s">
        <v>535</v>
      </c>
      <c r="E9" s="31"/>
      <c r="F9" s="32"/>
      <c r="G9" s="32"/>
      <c r="H9" s="32"/>
      <c r="I9" s="32"/>
      <c r="J9" s="219"/>
      <c r="K9" s="331">
        <f>'Crédito IPE'!K13</f>
        <v>7586640</v>
      </c>
      <c r="L9" s="22"/>
    </row>
    <row r="10" spans="1:189" x14ac:dyDescent="0.25">
      <c r="A10" s="240"/>
      <c r="B10" s="313" t="s">
        <v>497</v>
      </c>
      <c r="C10" s="422">
        <f>'R17 '!C7</f>
        <v>1401</v>
      </c>
      <c r="D10" s="160" t="s">
        <v>80</v>
      </c>
      <c r="E10" s="31"/>
      <c r="F10" s="32"/>
      <c r="G10" s="32"/>
      <c r="H10" s="32"/>
      <c r="I10" s="32"/>
      <c r="J10" s="219"/>
      <c r="K10" s="331">
        <f>'Crédito IPE'!K28</f>
        <v>4263219</v>
      </c>
      <c r="L10" s="22"/>
    </row>
    <row r="11" spans="1:189" x14ac:dyDescent="0.25">
      <c r="A11" s="240"/>
      <c r="B11" s="313" t="s">
        <v>498</v>
      </c>
      <c r="C11" s="423"/>
      <c r="D11" s="344" t="s">
        <v>502</v>
      </c>
      <c r="E11" s="345"/>
      <c r="F11" s="345"/>
      <c r="G11" s="345"/>
      <c r="H11" s="345"/>
      <c r="I11" s="345"/>
      <c r="J11" s="346"/>
      <c r="K11" s="347">
        <f>SUM(K9:K10)</f>
        <v>11849859</v>
      </c>
      <c r="L11" s="22"/>
    </row>
    <row r="12" spans="1:189" x14ac:dyDescent="0.25">
      <c r="A12" s="240"/>
      <c r="B12" s="313" t="s">
        <v>497</v>
      </c>
      <c r="C12" s="423">
        <f>'R17 '!C11</f>
        <v>1588</v>
      </c>
      <c r="D12" s="160" t="s">
        <v>13</v>
      </c>
      <c r="E12" s="30"/>
      <c r="F12" s="31"/>
      <c r="G12" s="32"/>
      <c r="H12" s="32"/>
      <c r="I12" s="32"/>
      <c r="J12" s="219"/>
      <c r="K12" s="331">
        <f>+Antecedentes!L21</f>
        <v>200125</v>
      </c>
      <c r="L12" s="22"/>
    </row>
    <row r="13" spans="1:189" x14ac:dyDescent="0.25">
      <c r="A13" s="240"/>
      <c r="B13" s="313" t="s">
        <v>497</v>
      </c>
      <c r="C13" s="422">
        <f>'R17 '!C11</f>
        <v>1588</v>
      </c>
      <c r="D13" s="160" t="s">
        <v>81</v>
      </c>
      <c r="E13" s="30"/>
      <c r="F13" s="31"/>
      <c r="G13" s="32"/>
      <c r="H13" s="32"/>
      <c r="I13" s="32"/>
      <c r="J13" s="219"/>
      <c r="K13" s="348">
        <f>+Antecedentes!$G$79-Antecedentes!$E$79</f>
        <v>811</v>
      </c>
      <c r="L13" s="22"/>
    </row>
    <row r="14" spans="1:189" ht="15.75" thickBot="1" x14ac:dyDescent="0.3">
      <c r="A14" s="240"/>
      <c r="B14" s="313" t="s">
        <v>498</v>
      </c>
      <c r="C14" s="423"/>
      <c r="D14" s="230" t="s">
        <v>503</v>
      </c>
      <c r="E14" s="349"/>
      <c r="F14" s="231"/>
      <c r="G14" s="231"/>
      <c r="H14" s="231"/>
      <c r="I14" s="231"/>
      <c r="J14" s="350"/>
      <c r="K14" s="351">
        <f>SUM(K12:K13)</f>
        <v>200936</v>
      </c>
      <c r="L14" s="22"/>
      <c r="GG14" s="10"/>
    </row>
    <row r="15" spans="1:189" ht="15.75" thickTop="1" x14ac:dyDescent="0.25">
      <c r="A15" s="240"/>
      <c r="B15" s="313" t="s">
        <v>498</v>
      </c>
      <c r="C15" s="423"/>
      <c r="D15" s="321" t="s">
        <v>504</v>
      </c>
      <c r="E15" s="318"/>
      <c r="F15" s="318"/>
      <c r="G15" s="318"/>
      <c r="H15" s="318"/>
      <c r="I15" s="318"/>
      <c r="J15" s="318"/>
      <c r="K15" s="352">
        <f>+K8+K11+K14</f>
        <v>120050795</v>
      </c>
    </row>
    <row r="16" spans="1:189" x14ac:dyDescent="0.25">
      <c r="A16" s="22"/>
      <c r="B16" s="313"/>
      <c r="C16" s="423"/>
      <c r="D16" s="341" t="s">
        <v>505</v>
      </c>
      <c r="E16" s="315"/>
      <c r="F16" s="315"/>
      <c r="G16" s="315"/>
      <c r="H16" s="315"/>
      <c r="I16" s="315"/>
      <c r="J16" s="316"/>
      <c r="K16" s="339" t="s">
        <v>75</v>
      </c>
      <c r="L16" s="22"/>
    </row>
    <row r="17" spans="1:14" x14ac:dyDescent="0.25">
      <c r="A17" s="22"/>
      <c r="B17" s="313" t="s">
        <v>499</v>
      </c>
      <c r="C17" s="423">
        <f>'R17 '!C18</f>
        <v>1409</v>
      </c>
      <c r="D17" s="30" t="str">
        <f>+Antecedentes!C35</f>
        <v>Compras netas existencias 2025</v>
      </c>
      <c r="E17" s="162"/>
      <c r="F17" s="53"/>
      <c r="G17" s="54"/>
      <c r="H17" s="54"/>
      <c r="I17" s="54"/>
      <c r="J17" s="310"/>
      <c r="K17" s="307">
        <f>-Antecedentes!L35</f>
        <v>-22000000</v>
      </c>
      <c r="L17" s="22"/>
    </row>
    <row r="18" spans="1:14" x14ac:dyDescent="0.25">
      <c r="A18" s="22"/>
      <c r="B18" s="313" t="s">
        <v>499</v>
      </c>
      <c r="C18" s="423">
        <f>'R17 '!C19</f>
        <v>1818</v>
      </c>
      <c r="D18" s="30" t="s">
        <v>83</v>
      </c>
      <c r="E18" s="162"/>
      <c r="F18" s="53"/>
      <c r="G18" s="54"/>
      <c r="H18" s="54"/>
      <c r="I18" s="54"/>
      <c r="J18" s="310"/>
      <c r="K18" s="307">
        <f>-Antecedentes!L43</f>
        <v>-2000000</v>
      </c>
      <c r="L18" s="22"/>
    </row>
    <row r="19" spans="1:14" x14ac:dyDescent="0.25">
      <c r="A19" s="22"/>
      <c r="B19" s="313" t="s">
        <v>499</v>
      </c>
      <c r="C19" s="423">
        <f>'R17 '!C23</f>
        <v>1413</v>
      </c>
      <c r="D19" s="30" t="str">
        <f>+Antecedentes!C36</f>
        <v>Compra neta camioneta de reparto, usada</v>
      </c>
      <c r="E19" s="162"/>
      <c r="F19" s="53"/>
      <c r="G19" s="54"/>
      <c r="H19" s="54"/>
      <c r="I19" s="54"/>
      <c r="J19" s="310"/>
      <c r="K19" s="307">
        <f>-Antecedentes!L36</f>
        <v>-2000000</v>
      </c>
      <c r="L19" s="22"/>
    </row>
    <row r="20" spans="1:14" x14ac:dyDescent="0.25">
      <c r="A20" s="22"/>
      <c r="B20" s="313" t="s">
        <v>499</v>
      </c>
      <c r="C20" s="423">
        <f>'R17 '!C21</f>
        <v>1411</v>
      </c>
      <c r="D20" s="30" t="s">
        <v>536</v>
      </c>
      <c r="E20" s="162"/>
      <c r="F20" s="53"/>
      <c r="G20" s="54"/>
      <c r="H20" s="54"/>
      <c r="I20" s="54"/>
      <c r="J20" s="310"/>
      <c r="K20" s="320">
        <f>-Antecedentes!L37-Antecedentes!L41-Antecedentes!L42</f>
        <v>-8505000</v>
      </c>
      <c r="L20" s="22"/>
    </row>
    <row r="21" spans="1:14" x14ac:dyDescent="0.25">
      <c r="A21" s="22"/>
      <c r="B21" s="313" t="s">
        <v>499</v>
      </c>
      <c r="C21" s="423">
        <f>'R17 '!C22</f>
        <v>1412</v>
      </c>
      <c r="D21" s="238" t="str">
        <f>+Antecedentes!C38</f>
        <v>Honorarios del ejercicio, monto bruto</v>
      </c>
      <c r="E21" s="162"/>
      <c r="F21" s="53"/>
      <c r="G21" s="54"/>
      <c r="H21" s="54"/>
      <c r="I21" s="54"/>
      <c r="J21" s="310"/>
      <c r="K21" s="317">
        <f>-Antecedentes!L38</f>
        <v>-1000000</v>
      </c>
      <c r="L21" s="22"/>
    </row>
    <row r="22" spans="1:14" x14ac:dyDescent="0.25">
      <c r="A22" s="22"/>
      <c r="B22" s="313" t="s">
        <v>499</v>
      </c>
      <c r="C22" s="423">
        <f>'R17 '!C32</f>
        <v>1424</v>
      </c>
      <c r="D22" s="162" t="str">
        <f>+Antecedentes!C39</f>
        <v>Gastos generales</v>
      </c>
      <c r="E22" s="162"/>
      <c r="F22" s="53"/>
      <c r="G22" s="54"/>
      <c r="H22" s="54"/>
      <c r="I22" s="54"/>
      <c r="J22" s="310"/>
      <c r="K22" s="307">
        <f>-Antecedentes!L39</f>
        <v>-201000</v>
      </c>
      <c r="L22" s="22"/>
    </row>
    <row r="23" spans="1:14" x14ac:dyDescent="0.25">
      <c r="A23" s="22"/>
      <c r="B23" s="313" t="s">
        <v>499</v>
      </c>
      <c r="C23" s="423">
        <f>'R17 '!C24</f>
        <v>1415</v>
      </c>
      <c r="D23" s="162" t="str">
        <f>+Antecedentes!C40</f>
        <v>Arriendos</v>
      </c>
      <c r="E23" s="162"/>
      <c r="F23" s="53"/>
      <c r="G23" s="54"/>
      <c r="H23" s="54"/>
      <c r="I23" s="54"/>
      <c r="J23" s="310"/>
      <c r="K23" s="307">
        <f>-Antecedentes!L40</f>
        <v>-860000</v>
      </c>
      <c r="L23" s="22"/>
    </row>
    <row r="24" spans="1:14" x14ac:dyDescent="0.25">
      <c r="A24" s="22"/>
      <c r="B24" s="313" t="s">
        <v>499</v>
      </c>
      <c r="C24" s="423">
        <f>'R17 '!C28</f>
        <v>1419</v>
      </c>
      <c r="D24" s="162" t="s">
        <v>35</v>
      </c>
      <c r="E24" s="162"/>
      <c r="F24" s="53"/>
      <c r="G24" s="54"/>
      <c r="H24" s="54"/>
      <c r="I24" s="54"/>
      <c r="J24" s="310"/>
      <c r="K24" s="317">
        <f>-Antecedentes!H44</f>
        <v>-280000</v>
      </c>
      <c r="L24" s="22"/>
    </row>
    <row r="25" spans="1:14" x14ac:dyDescent="0.25">
      <c r="A25" s="22"/>
      <c r="B25" s="313" t="s">
        <v>499</v>
      </c>
      <c r="C25" s="423">
        <f>'R17 '!C30</f>
        <v>1422</v>
      </c>
      <c r="D25" s="162" t="str">
        <f>+Antecedentes!C45</f>
        <v>Pago intereses y multas fiscales</v>
      </c>
      <c r="E25" s="162"/>
      <c r="F25" s="53"/>
      <c r="G25" s="54"/>
      <c r="H25" s="54"/>
      <c r="I25" s="54"/>
      <c r="J25" s="310"/>
      <c r="K25" s="317">
        <f>-Antecedentes!L45</f>
        <v>-140000</v>
      </c>
      <c r="L25" s="22"/>
    </row>
    <row r="26" spans="1:14" x14ac:dyDescent="0.25">
      <c r="A26" s="22"/>
      <c r="B26" s="313" t="s">
        <v>499</v>
      </c>
      <c r="C26" s="423">
        <f>'R17 '!C30</f>
        <v>1422</v>
      </c>
      <c r="D26" s="162" t="str">
        <f>+Antecedentes!C46</f>
        <v>Pago IDPC AT 2025</v>
      </c>
      <c r="E26" s="162"/>
      <c r="F26" s="53"/>
      <c r="G26" s="54"/>
      <c r="H26" s="54"/>
      <c r="I26" s="54"/>
      <c r="J26" s="310"/>
      <c r="K26" s="317">
        <f>-Antecedentes!L46</f>
        <v>-2300000</v>
      </c>
      <c r="L26" s="22"/>
    </row>
    <row r="27" spans="1:14" ht="15.75" thickBot="1" x14ac:dyDescent="0.3">
      <c r="A27" s="22"/>
      <c r="B27" s="313" t="s">
        <v>498</v>
      </c>
      <c r="C27" s="423"/>
      <c r="D27" s="343" t="s">
        <v>506</v>
      </c>
      <c r="E27" s="328"/>
      <c r="F27" s="328"/>
      <c r="G27" s="328"/>
      <c r="H27" s="328"/>
      <c r="I27" s="328"/>
      <c r="J27" s="329"/>
      <c r="K27" s="353">
        <f>SUM(K17:K26)</f>
        <v>-39286000</v>
      </c>
      <c r="L27" s="22"/>
    </row>
    <row r="28" spans="1:14" ht="15.75" thickTop="1" x14ac:dyDescent="0.25">
      <c r="A28" s="22"/>
      <c r="B28" s="313" t="s">
        <v>498</v>
      </c>
      <c r="C28" s="423"/>
      <c r="D28" s="338" t="s">
        <v>129</v>
      </c>
      <c r="E28" s="318"/>
      <c r="F28" s="318"/>
      <c r="G28" s="318"/>
      <c r="H28" s="318"/>
      <c r="I28" s="318"/>
      <c r="J28" s="334"/>
      <c r="K28" s="366">
        <f>+K27</f>
        <v>-39286000</v>
      </c>
      <c r="N28" s="1" t="s">
        <v>84</v>
      </c>
    </row>
    <row r="29" spans="1:14" x14ac:dyDescent="0.25">
      <c r="A29" s="22"/>
      <c r="B29" s="313" t="s">
        <v>497</v>
      </c>
      <c r="C29" s="423">
        <f>'R17 '!C38</f>
        <v>1431</v>
      </c>
      <c r="D29" s="162" t="str">
        <f>+D25</f>
        <v>Pago intereses y multas fiscales</v>
      </c>
      <c r="E29" s="162"/>
      <c r="F29" s="53"/>
      <c r="G29" s="54"/>
      <c r="H29" s="54"/>
      <c r="I29" s="54"/>
      <c r="J29" s="323"/>
      <c r="K29" s="333">
        <f>-K25</f>
        <v>140000</v>
      </c>
      <c r="L29" s="22"/>
    </row>
    <row r="30" spans="1:14" x14ac:dyDescent="0.25">
      <c r="A30" s="22"/>
      <c r="B30" s="313" t="s">
        <v>497</v>
      </c>
      <c r="C30" s="423">
        <f>'R17 '!C38</f>
        <v>1431</v>
      </c>
      <c r="D30" s="162" t="str">
        <f>+D26</f>
        <v>Pago IDPC AT 2025</v>
      </c>
      <c r="E30" s="162"/>
      <c r="F30" s="53"/>
      <c r="G30" s="54"/>
      <c r="H30" s="54"/>
      <c r="I30" s="54"/>
      <c r="J30" s="324"/>
      <c r="K30" s="320">
        <f>-K26</f>
        <v>2300000</v>
      </c>
      <c r="L30" s="22"/>
    </row>
    <row r="31" spans="1:14" ht="15.75" thickBot="1" x14ac:dyDescent="0.3">
      <c r="A31" s="22"/>
      <c r="B31" s="330" t="s">
        <v>498</v>
      </c>
      <c r="C31" s="424"/>
      <c r="D31" s="343" t="s">
        <v>507</v>
      </c>
      <c r="E31" s="328"/>
      <c r="F31" s="328"/>
      <c r="G31" s="328"/>
      <c r="H31" s="328"/>
      <c r="I31" s="328"/>
      <c r="J31" s="329"/>
      <c r="K31" s="354">
        <f>SUM(K29:K30)</f>
        <v>2440000</v>
      </c>
    </row>
    <row r="32" spans="1:14" ht="15.75" thickTop="1" x14ac:dyDescent="0.25">
      <c r="A32" s="22"/>
      <c r="B32" s="335" t="s">
        <v>498</v>
      </c>
      <c r="C32" s="425"/>
      <c r="D32" s="344" t="s">
        <v>511</v>
      </c>
      <c r="E32" s="148"/>
      <c r="F32" s="148"/>
      <c r="G32" s="148"/>
      <c r="H32" s="148"/>
      <c r="I32" s="148"/>
      <c r="J32" s="148"/>
      <c r="K32" s="361">
        <f>K15+K28+K31</f>
        <v>83204795</v>
      </c>
    </row>
    <row r="33" spans="1:13" ht="15.75" thickBot="1" x14ac:dyDescent="0.3">
      <c r="A33" s="22"/>
      <c r="B33" s="364" t="s">
        <v>499</v>
      </c>
      <c r="C33" s="426">
        <f>'R17 '!C40</f>
        <v>1432</v>
      </c>
      <c r="D33" s="365" t="s">
        <v>509</v>
      </c>
      <c r="E33" s="349"/>
      <c r="F33" s="349"/>
      <c r="G33" s="349"/>
      <c r="H33" s="349"/>
      <c r="I33" s="349"/>
      <c r="J33" s="349"/>
      <c r="K33" s="367">
        <f>-K43</f>
        <v>-32382398</v>
      </c>
    </row>
    <row r="34" spans="1:13" ht="15.75" thickTop="1" x14ac:dyDescent="0.25">
      <c r="A34" s="22"/>
      <c r="B34" s="314" t="s">
        <v>498</v>
      </c>
      <c r="C34" s="30"/>
      <c r="D34" s="362" t="s">
        <v>512</v>
      </c>
      <c r="E34" s="144"/>
      <c r="F34" s="144"/>
      <c r="G34" s="144"/>
      <c r="H34" s="144"/>
      <c r="I34" s="144"/>
      <c r="J34" s="144"/>
      <c r="K34" s="363">
        <f>+K32+K33</f>
        <v>50822397</v>
      </c>
    </row>
    <row r="35" spans="1:13" x14ac:dyDescent="0.25">
      <c r="A35" s="22"/>
      <c r="B35" s="314" t="s">
        <v>498</v>
      </c>
      <c r="C35" s="346"/>
      <c r="D35" s="326" t="s">
        <v>85</v>
      </c>
      <c r="E35" s="336"/>
      <c r="F35" s="327"/>
      <c r="G35" s="327"/>
      <c r="H35" s="327"/>
      <c r="I35" s="327"/>
      <c r="J35" s="453">
        <v>0.125</v>
      </c>
      <c r="K35" s="332">
        <f>ROUND(+K34*J35,0)</f>
        <v>6352800</v>
      </c>
    </row>
    <row r="36" spans="1:13" x14ac:dyDescent="0.25">
      <c r="A36" s="22"/>
      <c r="B36" s="33"/>
      <c r="C36" s="30"/>
      <c r="D36" s="22"/>
      <c r="E36" s="22"/>
      <c r="F36" s="22"/>
      <c r="G36" s="22"/>
      <c r="H36" s="22"/>
      <c r="I36" s="22"/>
      <c r="J36" s="22"/>
      <c r="K36" s="22"/>
      <c r="L36" s="22"/>
    </row>
    <row r="37" spans="1:13" ht="23.25" customHeight="1" x14ac:dyDescent="0.25">
      <c r="A37" s="55"/>
      <c r="B37" s="541" t="s">
        <v>86</v>
      </c>
      <c r="C37" s="542"/>
      <c r="D37" s="542"/>
      <c r="E37" s="542"/>
      <c r="F37" s="542"/>
      <c r="G37" s="542"/>
      <c r="H37" s="542"/>
      <c r="I37" s="542"/>
      <c r="J37" s="542"/>
      <c r="K37" s="543"/>
      <c r="L37" s="22"/>
    </row>
    <row r="38" spans="1:13" x14ac:dyDescent="0.25">
      <c r="A38" s="22"/>
      <c r="B38" s="337" t="s">
        <v>508</v>
      </c>
      <c r="C38" s="30"/>
      <c r="E38" s="56"/>
      <c r="F38" s="26"/>
      <c r="G38" s="22"/>
      <c r="H38" s="22"/>
      <c r="I38" s="22"/>
      <c r="J38" s="240"/>
      <c r="K38" s="317">
        <f>+K32</f>
        <v>83204795</v>
      </c>
      <c r="L38" s="22"/>
    </row>
    <row r="39" spans="1:13" x14ac:dyDescent="0.25">
      <c r="A39" s="22"/>
      <c r="B39" s="337" t="s">
        <v>529</v>
      </c>
      <c r="C39" s="30"/>
      <c r="E39" s="56"/>
      <c r="F39" s="26"/>
      <c r="G39" s="22"/>
      <c r="H39" s="22"/>
      <c r="I39" s="22"/>
      <c r="J39" s="240"/>
      <c r="K39" s="317">
        <f>-Antecedentes!E72</f>
        <v>-16000000</v>
      </c>
      <c r="L39" s="22"/>
    </row>
    <row r="40" spans="1:13" x14ac:dyDescent="0.25">
      <c r="A40" s="22"/>
      <c r="B40" s="337" t="s">
        <v>530</v>
      </c>
      <c r="C40" s="30"/>
      <c r="E40" s="56"/>
      <c r="F40" s="26"/>
      <c r="G40" s="22"/>
      <c r="H40" s="22"/>
      <c r="I40" s="22"/>
      <c r="J40" s="240"/>
      <c r="K40" s="307">
        <f>+'CPT Simplificado'!F8</f>
        <v>-140000</v>
      </c>
      <c r="L40" s="22"/>
    </row>
    <row r="41" spans="1:13" x14ac:dyDescent="0.25">
      <c r="A41" s="22"/>
      <c r="B41" s="337" t="s">
        <v>531</v>
      </c>
      <c r="C41" s="194"/>
      <c r="D41" s="355"/>
      <c r="E41" s="56"/>
      <c r="F41" s="26"/>
      <c r="G41" s="22"/>
      <c r="H41" s="22"/>
      <c r="I41" s="22"/>
      <c r="J41" s="240"/>
      <c r="K41" s="307">
        <f>+'CPT Simplificado'!F9</f>
        <v>-2300000</v>
      </c>
      <c r="L41" s="22"/>
    </row>
    <row r="42" spans="1:13" ht="15.75" thickBot="1" x14ac:dyDescent="0.3">
      <c r="A42" s="22"/>
      <c r="B42" s="356" t="s">
        <v>547</v>
      </c>
      <c r="C42" s="231"/>
      <c r="D42" s="357"/>
      <c r="E42" s="358"/>
      <c r="F42" s="154"/>
      <c r="G42" s="155"/>
      <c r="H42" s="155"/>
      <c r="I42" s="155"/>
      <c r="J42" s="359"/>
      <c r="K42" s="360">
        <f>SUM(K38:K41)</f>
        <v>64764795</v>
      </c>
      <c r="L42" s="22"/>
    </row>
    <row r="43" spans="1:13" ht="15" customHeight="1" thickTop="1" x14ac:dyDescent="0.25">
      <c r="A43" s="22"/>
      <c r="B43" s="544" t="s">
        <v>510</v>
      </c>
      <c r="C43" s="456"/>
      <c r="D43" s="456"/>
      <c r="E43" s="456"/>
      <c r="F43" s="456"/>
      <c r="G43" s="456"/>
      <c r="H43" s="456"/>
      <c r="I43" s="456"/>
      <c r="J43" s="545"/>
      <c r="K43" s="536">
        <f>MIN(M44,MAX(ROUND(+L44*K42,0),0))</f>
        <v>32382398</v>
      </c>
      <c r="L43" s="22"/>
    </row>
    <row r="44" spans="1:13" ht="12.75" customHeight="1" x14ac:dyDescent="0.25">
      <c r="A44" s="22"/>
      <c r="B44" s="546"/>
      <c r="C44" s="547"/>
      <c r="D44" s="547"/>
      <c r="E44" s="547"/>
      <c r="F44" s="547"/>
      <c r="G44" s="547"/>
      <c r="H44" s="547"/>
      <c r="I44" s="547"/>
      <c r="J44" s="548"/>
      <c r="K44" s="537"/>
      <c r="L44" s="340">
        <v>0.5</v>
      </c>
      <c r="M44" s="10">
        <f>5000*Antecedentes!I62</f>
        <v>198639800</v>
      </c>
    </row>
    <row r="45" spans="1:13" x14ac:dyDescent="0.25">
      <c r="A45" s="22"/>
      <c r="B45" s="33"/>
      <c r="C45" s="30"/>
      <c r="D45" s="22"/>
      <c r="E45" s="22"/>
      <c r="F45" s="22"/>
      <c r="G45" s="22"/>
      <c r="H45" s="22"/>
      <c r="I45" s="22"/>
      <c r="J45" s="22"/>
      <c r="K45" s="22"/>
      <c r="L45" s="22"/>
    </row>
    <row r="46" spans="1:13" x14ac:dyDescent="0.25">
      <c r="A46" s="22"/>
      <c r="B46" s="33"/>
      <c r="C46" s="30"/>
      <c r="D46" s="22"/>
      <c r="E46" s="22"/>
      <c r="F46" s="22"/>
      <c r="G46" s="22"/>
      <c r="H46" s="22"/>
      <c r="I46" s="22"/>
      <c r="J46" s="22"/>
      <c r="K46" s="22"/>
      <c r="L46" s="22"/>
    </row>
    <row r="47" spans="1:13" ht="19.5" customHeight="1" x14ac:dyDescent="0.25">
      <c r="A47" s="22"/>
      <c r="B47" s="33"/>
      <c r="C47" s="30"/>
      <c r="D47" s="22"/>
      <c r="E47" s="22"/>
      <c r="F47" s="22"/>
      <c r="G47" s="22"/>
      <c r="H47" s="22"/>
      <c r="I47" s="22"/>
      <c r="J47" s="22"/>
      <c r="K47" s="22"/>
      <c r="L47" s="22"/>
    </row>
    <row r="48" spans="1:13" x14ac:dyDescent="0.25">
      <c r="A48" s="22"/>
      <c r="B48" s="33"/>
      <c r="C48" s="30"/>
      <c r="D48" s="22"/>
      <c r="E48" s="22"/>
      <c r="F48" s="22"/>
      <c r="G48" s="22"/>
      <c r="H48" s="22"/>
      <c r="I48" s="22"/>
      <c r="J48" s="22"/>
      <c r="K48" s="22"/>
      <c r="L48" s="22"/>
    </row>
    <row r="49" spans="1:12" x14ac:dyDescent="0.25">
      <c r="A49" s="22"/>
      <c r="B49" s="33"/>
      <c r="C49" s="30"/>
      <c r="D49" s="22"/>
      <c r="E49" s="22"/>
      <c r="F49" s="22"/>
      <c r="G49" s="22"/>
      <c r="H49" s="22"/>
      <c r="I49" s="22"/>
      <c r="J49" s="22"/>
      <c r="K49" s="22"/>
      <c r="L49" s="22"/>
    </row>
    <row r="50" spans="1:12" x14ac:dyDescent="0.25">
      <c r="A50" s="22"/>
      <c r="B50" s="33"/>
      <c r="C50" s="30"/>
      <c r="D50" s="22"/>
      <c r="E50" s="22"/>
      <c r="F50" s="22"/>
      <c r="G50" s="22"/>
      <c r="H50" s="22"/>
      <c r="I50" s="22"/>
      <c r="J50" s="22"/>
      <c r="K50" s="22"/>
      <c r="L50" s="22"/>
    </row>
    <row r="51" spans="1:12" x14ac:dyDescent="0.25">
      <c r="A51" s="22"/>
      <c r="B51" s="33"/>
      <c r="C51" s="30"/>
      <c r="D51" s="22"/>
      <c r="E51" s="22"/>
      <c r="F51" s="22"/>
      <c r="G51" s="22"/>
      <c r="H51" s="22"/>
      <c r="I51" s="22"/>
      <c r="J51" s="22"/>
      <c r="K51" s="22"/>
      <c r="L51" s="22"/>
    </row>
    <row r="52" spans="1:12" x14ac:dyDescent="0.25">
      <c r="A52" s="22"/>
      <c r="B52" s="33"/>
      <c r="C52" s="30"/>
      <c r="D52" s="22"/>
      <c r="E52" s="22"/>
      <c r="F52" s="22"/>
      <c r="G52" s="22"/>
      <c r="H52" s="22"/>
      <c r="I52" s="22"/>
      <c r="J52" s="22"/>
      <c r="K52" s="22"/>
      <c r="L52" s="22"/>
    </row>
    <row r="53" spans="1:12" x14ac:dyDescent="0.25">
      <c r="A53" s="22"/>
      <c r="B53" s="33"/>
      <c r="C53" s="30"/>
      <c r="D53" s="22"/>
      <c r="E53" s="22"/>
      <c r="F53" s="22"/>
      <c r="G53" s="22"/>
      <c r="H53" s="22"/>
      <c r="I53" s="22"/>
      <c r="J53" s="22"/>
      <c r="K53" s="22"/>
      <c r="L53" s="22"/>
    </row>
    <row r="76" ht="39" customHeight="1" x14ac:dyDescent="0.25"/>
    <row r="78" ht="17.25" customHeight="1" x14ac:dyDescent="0.25"/>
    <row r="96" ht="14.25" customHeight="1" x14ac:dyDescent="0.25"/>
    <row r="101" spans="5:9" x14ac:dyDescent="0.25">
      <c r="E101" s="2"/>
      <c r="F101" s="2"/>
      <c r="G101" s="2"/>
      <c r="H101" s="2"/>
      <c r="I101" s="2"/>
    </row>
    <row r="105" spans="5:9" ht="36.75" customHeight="1" x14ac:dyDescent="0.25"/>
    <row r="107" spans="5:9" x14ac:dyDescent="0.25">
      <c r="E107" s="2"/>
      <c r="F107" s="2"/>
      <c r="G107" s="2"/>
      <c r="H107" s="2"/>
      <c r="I107" s="2"/>
    </row>
  </sheetData>
  <mergeCells count="6">
    <mergeCell ref="B2:C4"/>
    <mergeCell ref="D2:K3"/>
    <mergeCell ref="K43:K44"/>
    <mergeCell ref="D6:J6"/>
    <mergeCell ref="B37:K37"/>
    <mergeCell ref="B43:J44"/>
  </mergeCells>
  <phoneticPr fontId="17" type="noConversion"/>
  <pageMargins left="0.27559055118110237" right="0.15748031496062992" top="0.39370078740157483" bottom="0.19685039370078741" header="0.31496062992125984" footer="0.11811023622047245"/>
  <drawing r:id="rId1"/>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2:G19"/>
  <sheetViews>
    <sheetView showGridLines="0" zoomScale="90" zoomScaleNormal="90" zoomScalePageLayoutView="90" workbookViewId="0"/>
  </sheetViews>
  <sheetFormatPr baseColWidth="10" defaultColWidth="9.140625" defaultRowHeight="12.75" x14ac:dyDescent="0.2"/>
  <cols>
    <col min="1" max="1" width="4.42578125" style="68" customWidth="1"/>
    <col min="2" max="2" width="10" style="68" customWidth="1"/>
    <col min="3" max="3" width="18" style="68" customWidth="1"/>
    <col min="4" max="4" width="20.85546875" style="68" customWidth="1"/>
    <col min="5" max="5" width="14" style="68" customWidth="1"/>
    <col min="6" max="6" width="13.42578125" style="68" customWidth="1"/>
    <col min="7" max="7" width="15.85546875" style="68" customWidth="1"/>
    <col min="8" max="8" width="12.42578125" style="68" customWidth="1"/>
    <col min="9" max="9" width="13.42578125" style="68" customWidth="1"/>
    <col min="10" max="10" width="10.85546875" style="68" customWidth="1"/>
    <col min="11" max="11" width="11.85546875" style="68" customWidth="1"/>
    <col min="12" max="16384" width="9.140625" style="68"/>
  </cols>
  <sheetData>
    <row r="2" spans="1:7" ht="19.5" customHeight="1" x14ac:dyDescent="0.2">
      <c r="A2" s="69"/>
      <c r="B2" s="541" t="s">
        <v>513</v>
      </c>
      <c r="C2" s="542"/>
      <c r="D2" s="542"/>
      <c r="E2" s="542"/>
      <c r="F2" s="543"/>
    </row>
    <row r="3" spans="1:7" x14ac:dyDescent="0.2">
      <c r="B3" s="337"/>
      <c r="C3" s="56"/>
      <c r="D3" s="26"/>
      <c r="E3" s="240"/>
      <c r="F3" s="370" t="s">
        <v>87</v>
      </c>
    </row>
    <row r="4" spans="1:7" ht="16.5" customHeight="1" x14ac:dyDescent="0.2">
      <c r="B4" s="549" t="s">
        <v>514</v>
      </c>
      <c r="C4" s="550"/>
      <c r="D4" s="550"/>
      <c r="E4" s="551"/>
      <c r="F4" s="307">
        <f>+'CPT Simplificado'!F12</f>
        <v>116732808</v>
      </c>
    </row>
    <row r="5" spans="1:7" ht="16.5" customHeight="1" x14ac:dyDescent="0.2">
      <c r="B5" s="337" t="s">
        <v>515</v>
      </c>
      <c r="C5" s="56"/>
      <c r="D5" s="26"/>
      <c r="E5" s="240"/>
      <c r="F5" s="307">
        <f>+Antecedentes!E72</f>
        <v>16000000</v>
      </c>
    </row>
    <row r="6" spans="1:7" ht="16.5" customHeight="1" x14ac:dyDescent="0.2">
      <c r="B6" s="337" t="s">
        <v>516</v>
      </c>
      <c r="C6" s="56"/>
      <c r="D6" s="26"/>
      <c r="E6" s="240"/>
      <c r="F6" s="317">
        <f>-RTRE!H15-RTRE!I15</f>
        <v>-160000</v>
      </c>
      <c r="G6" s="70"/>
    </row>
    <row r="7" spans="1:7" ht="16.5" customHeight="1" thickBot="1" x14ac:dyDescent="0.25">
      <c r="B7" s="552" t="s">
        <v>517</v>
      </c>
      <c r="C7" s="553"/>
      <c r="D7" s="553"/>
      <c r="E7" s="554"/>
      <c r="F7" s="376">
        <f>-Antecedentes!L10</f>
        <v>-30600000</v>
      </c>
    </row>
    <row r="8" spans="1:7" s="387" customFormat="1" ht="16.5" customHeight="1" thickTop="1" x14ac:dyDescent="0.25">
      <c r="B8" s="246" t="s">
        <v>518</v>
      </c>
      <c r="C8" s="368"/>
      <c r="D8" s="372"/>
      <c r="E8" s="258"/>
      <c r="F8" s="373">
        <f>SUM(F3:F7)</f>
        <v>101972808</v>
      </c>
    </row>
    <row r="9" spans="1:7" x14ac:dyDescent="0.2">
      <c r="B9" s="57"/>
      <c r="C9" s="56"/>
      <c r="D9" s="26"/>
      <c r="E9" s="22"/>
      <c r="F9" s="58"/>
    </row>
    <row r="10" spans="1:7" x14ac:dyDescent="0.2">
      <c r="B10" s="22"/>
      <c r="C10" s="22"/>
      <c r="D10" s="22"/>
      <c r="E10" s="22"/>
      <c r="F10" s="22"/>
    </row>
    <row r="13" spans="1:7" x14ac:dyDescent="0.2">
      <c r="C13" s="71"/>
      <c r="D13" s="71"/>
      <c r="E13" s="71"/>
    </row>
    <row r="17" spans="3:5" ht="36.75" customHeight="1" x14ac:dyDescent="0.2"/>
    <row r="19" spans="3:5" x14ac:dyDescent="0.2">
      <c r="C19" s="71"/>
      <c r="D19" s="71"/>
      <c r="E19" s="71"/>
    </row>
  </sheetData>
  <mergeCells count="3">
    <mergeCell ref="B2:F2"/>
    <mergeCell ref="B4:E4"/>
    <mergeCell ref="B7:E7"/>
  </mergeCells>
  <phoneticPr fontId="17" type="noConversion"/>
  <pageMargins left="0.7" right="0.7" top="0.75" bottom="0.75" header="0.3" footer="0.3"/>
  <drawing r:id="rId1"/>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P30"/>
  <sheetViews>
    <sheetView showGridLines="0" zoomScale="80" zoomScaleNormal="80" zoomScaleSheetLayoutView="91" workbookViewId="0">
      <selection activeCell="C20" sqref="C20"/>
    </sheetView>
  </sheetViews>
  <sheetFormatPr baseColWidth="10" defaultColWidth="9.140625" defaultRowHeight="12.75" x14ac:dyDescent="0.2"/>
  <cols>
    <col min="1" max="1" width="3.7109375" style="68" customWidth="1"/>
    <col min="2" max="2" width="15.140625" style="68" customWidth="1"/>
    <col min="3" max="3" width="14.140625" style="68" customWidth="1"/>
    <col min="4" max="4" width="16.85546875" style="68" customWidth="1"/>
    <col min="5" max="5" width="14" style="68" customWidth="1"/>
    <col min="6" max="6" width="17.140625" style="68" customWidth="1"/>
    <col min="7" max="7" width="15.7109375" style="68" customWidth="1"/>
    <col min="8" max="8" width="14" style="68" customWidth="1"/>
    <col min="9" max="9" width="13.140625" style="68" customWidth="1"/>
    <col min="10" max="10" width="12.140625" style="68" customWidth="1"/>
    <col min="11" max="11" width="11.28515625" style="68" bestFit="1" customWidth="1"/>
    <col min="12" max="13" width="12.85546875" style="68" customWidth="1"/>
    <col min="14" max="14" width="14" style="68" customWidth="1"/>
    <col min="15" max="15" width="11.85546875" style="68" customWidth="1"/>
    <col min="16" max="16" width="10.42578125" style="68" bestFit="1" customWidth="1"/>
    <col min="17" max="16384" width="9.140625" style="68"/>
  </cols>
  <sheetData>
    <row r="1" spans="1:16" x14ac:dyDescent="0.2">
      <c r="B1" s="39"/>
      <c r="C1" s="22"/>
      <c r="D1" s="22"/>
      <c r="E1" s="22"/>
      <c r="F1" s="22"/>
      <c r="G1" s="22"/>
      <c r="H1" s="22"/>
      <c r="I1" s="22"/>
      <c r="J1" s="22"/>
      <c r="K1" s="22"/>
      <c r="L1" s="22"/>
      <c r="M1" s="22"/>
      <c r="N1" s="22"/>
      <c r="O1" s="22"/>
    </row>
    <row r="2" spans="1:16" s="387" customFormat="1" ht="22.5" customHeight="1" x14ac:dyDescent="0.25">
      <c r="A2" s="69"/>
      <c r="B2" s="555" t="s">
        <v>519</v>
      </c>
      <c r="C2" s="556"/>
      <c r="D2" s="556"/>
      <c r="E2" s="556"/>
      <c r="F2" s="556"/>
      <c r="G2" s="556"/>
      <c r="H2" s="556"/>
      <c r="I2" s="556"/>
      <c r="J2" s="556"/>
      <c r="K2" s="556"/>
      <c r="L2" s="556"/>
      <c r="M2" s="556"/>
      <c r="N2" s="556"/>
      <c r="O2" s="557"/>
    </row>
    <row r="3" spans="1:16" ht="21" customHeight="1" x14ac:dyDescent="0.2">
      <c r="B3" s="493" t="s">
        <v>438</v>
      </c>
      <c r="C3" s="494"/>
      <c r="D3" s="494"/>
      <c r="E3" s="495"/>
      <c r="F3" s="494" t="s">
        <v>439</v>
      </c>
      <c r="G3" s="505" t="s">
        <v>57</v>
      </c>
      <c r="H3" s="560" t="s">
        <v>58</v>
      </c>
      <c r="I3" s="509"/>
      <c r="J3" s="558" t="s">
        <v>59</v>
      </c>
      <c r="K3" s="514"/>
      <c r="L3" s="514"/>
      <c r="M3" s="514"/>
      <c r="N3" s="514"/>
      <c r="O3" s="515"/>
    </row>
    <row r="4" spans="1:16" ht="38.25" x14ac:dyDescent="0.2">
      <c r="B4" s="496"/>
      <c r="C4" s="497"/>
      <c r="D4" s="497"/>
      <c r="E4" s="498"/>
      <c r="F4" s="497"/>
      <c r="G4" s="506"/>
      <c r="H4" s="516" t="s">
        <v>60</v>
      </c>
      <c r="I4" s="561" t="s">
        <v>467</v>
      </c>
      <c r="J4" s="479" t="s">
        <v>61</v>
      </c>
      <c r="K4" s="480"/>
      <c r="L4" s="480"/>
      <c r="M4" s="481"/>
      <c r="N4" s="261" t="s">
        <v>62</v>
      </c>
      <c r="O4" s="522" t="s">
        <v>63</v>
      </c>
    </row>
    <row r="5" spans="1:16" ht="25.5" x14ac:dyDescent="0.2">
      <c r="B5" s="496"/>
      <c r="C5" s="497"/>
      <c r="D5" s="497"/>
      <c r="E5" s="498"/>
      <c r="F5" s="497"/>
      <c r="G5" s="506"/>
      <c r="H5" s="517"/>
      <c r="I5" s="520"/>
      <c r="J5" s="479" t="s">
        <v>64</v>
      </c>
      <c r="K5" s="480"/>
      <c r="L5" s="481"/>
      <c r="M5" s="485" t="s">
        <v>65</v>
      </c>
      <c r="N5" s="260" t="s">
        <v>64</v>
      </c>
      <c r="O5" s="523"/>
    </row>
    <row r="6" spans="1:16" x14ac:dyDescent="0.2">
      <c r="B6" s="496"/>
      <c r="C6" s="497"/>
      <c r="D6" s="497"/>
      <c r="E6" s="498"/>
      <c r="F6" s="497"/>
      <c r="G6" s="506"/>
      <c r="H6" s="517"/>
      <c r="I6" s="520"/>
      <c r="J6" s="479" t="s">
        <v>16</v>
      </c>
      <c r="K6" s="481"/>
      <c r="L6" s="263">
        <v>0.14285700000000001</v>
      </c>
      <c r="M6" s="482"/>
      <c r="N6" s="381">
        <f>TRUNC(N22/O22,6)</f>
        <v>0.22874800000000001</v>
      </c>
      <c r="O6" s="523"/>
    </row>
    <row r="7" spans="1:16" ht="25.5" x14ac:dyDescent="0.2">
      <c r="B7" s="496"/>
      <c r="C7" s="497"/>
      <c r="D7" s="497"/>
      <c r="E7" s="498"/>
      <c r="F7" s="497"/>
      <c r="G7" s="506"/>
      <c r="H7" s="517"/>
      <c r="I7" s="520"/>
      <c r="J7" s="559" t="s">
        <v>66</v>
      </c>
      <c r="K7" s="483"/>
      <c r="L7" s="264" t="s">
        <v>67</v>
      </c>
      <c r="M7" s="483"/>
      <c r="N7" s="519" t="s">
        <v>68</v>
      </c>
      <c r="O7" s="523"/>
    </row>
    <row r="8" spans="1:16" ht="25.5" x14ac:dyDescent="0.2">
      <c r="B8" s="499"/>
      <c r="C8" s="500"/>
      <c r="D8" s="500"/>
      <c r="E8" s="501"/>
      <c r="F8" s="500"/>
      <c r="G8" s="507"/>
      <c r="H8" s="518"/>
      <c r="I8" s="521"/>
      <c r="J8" s="382" t="s">
        <v>69</v>
      </c>
      <c r="K8" s="264" t="s">
        <v>68</v>
      </c>
      <c r="L8" s="264" t="s">
        <v>68</v>
      </c>
      <c r="M8" s="264" t="s">
        <v>69</v>
      </c>
      <c r="N8" s="521"/>
      <c r="O8" s="524"/>
    </row>
    <row r="9" spans="1:16" x14ac:dyDescent="0.2">
      <c r="B9" s="146" t="s">
        <v>70</v>
      </c>
      <c r="C9" s="147"/>
      <c r="D9" s="147"/>
      <c r="E9" s="325"/>
      <c r="F9" s="147">
        <f>SUM(G9:I9)</f>
        <v>23430000</v>
      </c>
      <c r="G9" s="150">
        <f>+Antecedentes!H93</f>
        <v>23350000</v>
      </c>
      <c r="H9" s="147">
        <f>+Antecedentes!I93+Antecedentes!I93</f>
        <v>0</v>
      </c>
      <c r="I9" s="150">
        <f>+Antecedentes!J93</f>
        <v>80000</v>
      </c>
      <c r="J9" s="150">
        <f>+Antecedentes!K93</f>
        <v>0</v>
      </c>
      <c r="K9" s="383">
        <f>+Antecedentes!L93</f>
        <v>1028889</v>
      </c>
      <c r="L9" s="383">
        <f>+Antecedentes!M93</f>
        <v>92466</v>
      </c>
      <c r="M9" s="383">
        <f>+Antecedentes!N93</f>
        <v>0</v>
      </c>
      <c r="N9" s="383">
        <f>+Antecedentes!O93</f>
        <v>34312</v>
      </c>
      <c r="O9" s="383">
        <f>+Antecedentes!P93</f>
        <v>150000</v>
      </c>
    </row>
    <row r="10" spans="1:16" ht="18" customHeight="1" x14ac:dyDescent="0.2">
      <c r="B10" s="377" t="s">
        <v>89</v>
      </c>
      <c r="C10" s="22"/>
      <c r="D10" s="22"/>
      <c r="E10" s="240"/>
      <c r="F10" s="22">
        <f t="shared" ref="F10:F12" si="0">SUM(G10:I10)</f>
        <v>-23350000</v>
      </c>
      <c r="G10" s="319">
        <f>-G9</f>
        <v>-23350000</v>
      </c>
      <c r="H10" s="22"/>
      <c r="I10" s="319"/>
      <c r="J10" s="319"/>
      <c r="K10" s="240"/>
      <c r="L10" s="240"/>
      <c r="M10" s="240"/>
      <c r="N10" s="240"/>
      <c r="O10" s="240"/>
    </row>
    <row r="11" spans="1:16" ht="16.5" customHeight="1" x14ac:dyDescent="0.2">
      <c r="B11" s="377" t="s">
        <v>90</v>
      </c>
      <c r="C11" s="22"/>
      <c r="D11" s="22"/>
      <c r="E11" s="240"/>
      <c r="F11" s="22">
        <f t="shared" si="0"/>
        <v>101972808</v>
      </c>
      <c r="G11" s="319">
        <f>+'RAI Final'!F8</f>
        <v>101972808</v>
      </c>
      <c r="H11" s="22"/>
      <c r="I11" s="319"/>
      <c r="J11" s="319"/>
      <c r="K11" s="240"/>
      <c r="L11" s="240"/>
      <c r="M11" s="240"/>
      <c r="N11" s="240"/>
      <c r="O11" s="240"/>
    </row>
    <row r="12" spans="1:16" ht="16.5" customHeight="1" x14ac:dyDescent="0.2">
      <c r="B12" s="377" t="s">
        <v>522</v>
      </c>
      <c r="C12" s="22"/>
      <c r="D12" s="22"/>
      <c r="E12" s="240"/>
      <c r="F12" s="22">
        <f t="shared" si="0"/>
        <v>80000</v>
      </c>
      <c r="G12" s="319"/>
      <c r="H12" s="22"/>
      <c r="I12" s="319">
        <f>+Antecedentes!L29</f>
        <v>80000</v>
      </c>
      <c r="J12" s="319"/>
      <c r="K12" s="240"/>
      <c r="L12" s="240"/>
      <c r="M12" s="240"/>
      <c r="N12" s="240"/>
      <c r="O12" s="240"/>
    </row>
    <row r="13" spans="1:16" ht="16.5" customHeight="1" x14ac:dyDescent="0.2">
      <c r="B13" s="378" t="s">
        <v>91</v>
      </c>
      <c r="C13" s="22"/>
      <c r="D13" s="22"/>
      <c r="E13" s="404">
        <f>+'BI y art.14 letra E)'!K34</f>
        <v>50822397</v>
      </c>
      <c r="F13" s="22"/>
      <c r="G13" s="319"/>
      <c r="H13" s="22"/>
      <c r="I13" s="319"/>
      <c r="J13" s="348">
        <f>'Crédito IPE'!K38</f>
        <v>1481232</v>
      </c>
      <c r="K13" s="317">
        <f>+'BI y art.14 letra E)'!K35-J13</f>
        <v>4871568</v>
      </c>
      <c r="L13" s="240"/>
      <c r="M13" s="240">
        <f>'Crédito IPE'!K40</f>
        <v>2781987</v>
      </c>
      <c r="N13" s="240"/>
      <c r="O13" s="240"/>
    </row>
    <row r="14" spans="1:16" ht="16.5" customHeight="1" x14ac:dyDescent="0.2">
      <c r="B14" s="378" t="s">
        <v>92</v>
      </c>
      <c r="C14" s="22"/>
      <c r="D14" s="22"/>
      <c r="E14" s="240"/>
      <c r="F14" s="22"/>
      <c r="G14" s="319"/>
      <c r="H14" s="22"/>
      <c r="I14" s="319"/>
      <c r="J14" s="319"/>
      <c r="K14" s="240">
        <f>+Antecedentes!K26</f>
        <v>28571</v>
      </c>
      <c r="L14" s="240">
        <f>+Antecedentes!K25</f>
        <v>92466</v>
      </c>
      <c r="M14" s="240"/>
      <c r="N14" s="317">
        <f>+Antecedentes!K27</f>
        <v>36600</v>
      </c>
      <c r="O14" s="317">
        <f>+Antecedentes!L27</f>
        <v>160000</v>
      </c>
      <c r="P14" s="73"/>
    </row>
    <row r="15" spans="1:16" x14ac:dyDescent="0.2">
      <c r="B15" s="384" t="s">
        <v>520</v>
      </c>
      <c r="C15" s="380"/>
      <c r="D15" s="380"/>
      <c r="E15" s="325"/>
      <c r="F15" s="380">
        <f t="shared" ref="F15:O15" si="1">SUM(F9:F14)</f>
        <v>102132808</v>
      </c>
      <c r="G15" s="385">
        <f t="shared" si="1"/>
        <v>101972808</v>
      </c>
      <c r="H15" s="380">
        <f t="shared" si="1"/>
        <v>0</v>
      </c>
      <c r="I15" s="385">
        <f t="shared" si="1"/>
        <v>160000</v>
      </c>
      <c r="J15" s="385">
        <f t="shared" si="1"/>
        <v>1481232</v>
      </c>
      <c r="K15" s="386">
        <f t="shared" si="1"/>
        <v>5929028</v>
      </c>
      <c r="L15" s="386">
        <f t="shared" si="1"/>
        <v>184932</v>
      </c>
      <c r="M15" s="386">
        <f t="shared" si="1"/>
        <v>2781987</v>
      </c>
      <c r="N15" s="386">
        <f t="shared" si="1"/>
        <v>70912</v>
      </c>
      <c r="O15" s="386">
        <f t="shared" si="1"/>
        <v>310000</v>
      </c>
    </row>
    <row r="16" spans="1:16" x14ac:dyDescent="0.2">
      <c r="B16" s="377" t="s">
        <v>523</v>
      </c>
      <c r="C16" s="22"/>
      <c r="D16" s="22"/>
      <c r="E16" s="240"/>
      <c r="F16" s="22"/>
      <c r="G16" s="319"/>
      <c r="H16" s="22">
        <v>0</v>
      </c>
      <c r="I16" s="319"/>
      <c r="J16" s="319"/>
      <c r="K16" s="240"/>
      <c r="L16" s="240"/>
      <c r="M16" s="240"/>
      <c r="N16" s="240"/>
      <c r="O16" s="240"/>
    </row>
    <row r="17" spans="2:15" ht="15" customHeight="1" x14ac:dyDescent="0.2">
      <c r="B17" s="377" t="str">
        <f>+Antecedentes!C70</f>
        <v>Socio Sr. Ortiz</v>
      </c>
      <c r="C17" s="22"/>
      <c r="D17" s="379" t="str">
        <f>+Antecedentes!D70</f>
        <v>20.10.2025</v>
      </c>
      <c r="E17" s="240">
        <f>+Antecedentes!E70</f>
        <v>8000000</v>
      </c>
      <c r="F17" s="22">
        <f>SUM(G17:I17)</f>
        <v>-8000000</v>
      </c>
      <c r="G17" s="319">
        <f>-E17</f>
        <v>-8000000</v>
      </c>
      <c r="H17" s="22"/>
      <c r="I17" s="319"/>
      <c r="J17" s="319">
        <f>-MIN(-G17/0.65*12.5%,J15)</f>
        <v>-1481232</v>
      </c>
      <c r="K17" s="240">
        <f>((G17+M17)*L6)-J17</f>
        <v>-57228.032967000036</v>
      </c>
      <c r="L17" s="240"/>
      <c r="M17" s="317">
        <f>-E19</f>
        <v>-2769231</v>
      </c>
      <c r="N17" s="240"/>
      <c r="O17" s="240"/>
    </row>
    <row r="18" spans="2:15" s="396" customFormat="1" ht="15" customHeight="1" x14ac:dyDescent="0.25">
      <c r="B18" s="399" t="s">
        <v>93</v>
      </c>
      <c r="C18" s="400" t="s">
        <v>524</v>
      </c>
      <c r="D18" s="401"/>
      <c r="E18" s="402">
        <f>ROUND(+E17/0.65*12.5%,0)</f>
        <v>1538462</v>
      </c>
      <c r="F18" s="48"/>
      <c r="G18" s="398"/>
      <c r="H18" s="48"/>
      <c r="I18" s="398"/>
      <c r="J18" s="398"/>
      <c r="K18" s="397"/>
      <c r="L18" s="397"/>
      <c r="M18" s="397"/>
      <c r="N18" s="397"/>
      <c r="O18" s="397"/>
    </row>
    <row r="19" spans="2:15" s="396" customFormat="1" ht="15" customHeight="1" x14ac:dyDescent="0.25">
      <c r="B19" s="403"/>
      <c r="C19" s="400" t="s">
        <v>525</v>
      </c>
      <c r="D19" s="401"/>
      <c r="E19" s="402">
        <f>ROUND(+E17/0.65*22.5%,0)</f>
        <v>2769231</v>
      </c>
      <c r="F19" s="48"/>
      <c r="G19" s="398"/>
      <c r="H19" s="48"/>
      <c r="I19" s="398"/>
      <c r="J19" s="398"/>
      <c r="K19" s="397"/>
      <c r="L19" s="397"/>
      <c r="M19" s="397"/>
      <c r="N19" s="397"/>
      <c r="O19" s="397"/>
    </row>
    <row r="20" spans="2:15" s="387" customFormat="1" ht="15" customHeight="1" x14ac:dyDescent="0.25">
      <c r="B20" s="393" t="str">
        <f>+Antecedentes!C71</f>
        <v xml:space="preserve">Socio Sr. Escudero </v>
      </c>
      <c r="C20" s="61"/>
      <c r="D20" s="394" t="str">
        <f>+Antecedentes!D71</f>
        <v>20.11.2025</v>
      </c>
      <c r="E20" s="392">
        <f>+Antecedentes!E71</f>
        <v>8000000</v>
      </c>
      <c r="F20" s="61">
        <f>SUM(G20:I20)</f>
        <v>-8000000</v>
      </c>
      <c r="G20" s="395">
        <f>-E20</f>
        <v>-8000000</v>
      </c>
      <c r="H20" s="61"/>
      <c r="I20" s="395"/>
      <c r="J20" s="395"/>
      <c r="K20" s="392">
        <f>ROUND((G20+M20)*L6,0)</f>
        <v>-1144678</v>
      </c>
      <c r="L20" s="392"/>
      <c r="M20" s="392">
        <f>MAX(G20/0.65*25%,-M15-M17)</f>
        <v>-12756</v>
      </c>
      <c r="N20" s="392"/>
      <c r="O20" s="392"/>
    </row>
    <row r="21" spans="2:15" s="387" customFormat="1" ht="19.5" customHeight="1" x14ac:dyDescent="0.25">
      <c r="B21" s="388" t="s">
        <v>94</v>
      </c>
      <c r="C21" s="389"/>
      <c r="D21" s="389"/>
      <c r="E21" s="258">
        <f>+Antecedentes!L45</f>
        <v>140000</v>
      </c>
      <c r="F21" s="389"/>
      <c r="G21" s="390"/>
      <c r="H21" s="389"/>
      <c r="I21" s="390"/>
      <c r="J21" s="390"/>
      <c r="K21" s="391">
        <f>-ROUND(E21*L6,0)</f>
        <v>-20000</v>
      </c>
      <c r="L21" s="258"/>
      <c r="M21" s="258"/>
      <c r="N21" s="258"/>
      <c r="O21" s="392"/>
    </row>
    <row r="22" spans="2:15" x14ac:dyDescent="0.2">
      <c r="B22" s="141" t="s">
        <v>521</v>
      </c>
      <c r="C22" s="143"/>
      <c r="D22" s="143"/>
      <c r="E22" s="369"/>
      <c r="F22" s="141">
        <f>SUM(F15:F21)</f>
        <v>86132808</v>
      </c>
      <c r="G22" s="151">
        <f>SUM(G15:G21)</f>
        <v>85972808</v>
      </c>
      <c r="H22" s="143">
        <f>SUM(H15:H21)</f>
        <v>0</v>
      </c>
      <c r="I22" s="151">
        <f t="shared" ref="I22:O22" si="2">SUM(I15:I21)</f>
        <v>160000</v>
      </c>
      <c r="J22" s="151">
        <f t="shared" si="2"/>
        <v>0</v>
      </c>
      <c r="K22" s="145">
        <f t="shared" si="2"/>
        <v>4707121.9670329997</v>
      </c>
      <c r="L22" s="145">
        <f t="shared" si="2"/>
        <v>184932</v>
      </c>
      <c r="M22" s="145">
        <f t="shared" si="2"/>
        <v>0</v>
      </c>
      <c r="N22" s="145">
        <f t="shared" si="2"/>
        <v>70912</v>
      </c>
      <c r="O22" s="383">
        <f t="shared" si="2"/>
        <v>310000</v>
      </c>
    </row>
    <row r="25" spans="2:15" x14ac:dyDescent="0.2">
      <c r="J25" s="74"/>
    </row>
    <row r="29" spans="2:15" x14ac:dyDescent="0.2">
      <c r="C29" s="71"/>
      <c r="D29" s="71"/>
      <c r="E29" s="71"/>
      <c r="K29" s="140"/>
    </row>
    <row r="30" spans="2:15" x14ac:dyDescent="0.2">
      <c r="I30" s="72"/>
    </row>
  </sheetData>
  <mergeCells count="15">
    <mergeCell ref="B2:O2"/>
    <mergeCell ref="J3:O3"/>
    <mergeCell ref="J5:L5"/>
    <mergeCell ref="J6:K6"/>
    <mergeCell ref="J7:K7"/>
    <mergeCell ref="B3:E8"/>
    <mergeCell ref="F3:F8"/>
    <mergeCell ref="G3:G8"/>
    <mergeCell ref="H3:I3"/>
    <mergeCell ref="H4:H8"/>
    <mergeCell ref="I4:I8"/>
    <mergeCell ref="O4:O8"/>
    <mergeCell ref="N7:N8"/>
    <mergeCell ref="M5:M7"/>
    <mergeCell ref="J4:M4"/>
  </mergeCells>
  <phoneticPr fontId="17" type="noConversion"/>
  <pageMargins left="0.22" right="0.62992125984251968" top="0.55118110236220474" bottom="0.74803149606299213" header="0.31496062992125984" footer="0.31496062992125984"/>
  <drawing r:id="rId1"/>
  <extLst>
    <ext xmlns:mx="http://schemas.microsoft.com/office/mac/excel/2008/main" uri="http://schemas.microsoft.com/office/mac/excel/2008/main">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2:F13"/>
  <sheetViews>
    <sheetView showGridLines="0" zoomScale="90" zoomScaleNormal="90" zoomScalePageLayoutView="120" workbookViewId="0">
      <selection activeCell="H19" sqref="H19"/>
    </sheetView>
  </sheetViews>
  <sheetFormatPr baseColWidth="10" defaultColWidth="9.140625" defaultRowHeight="15" x14ac:dyDescent="0.25"/>
  <cols>
    <col min="1" max="1" width="2.42578125" style="1" customWidth="1"/>
    <col min="2" max="2" width="10" style="1" customWidth="1"/>
    <col min="3" max="3" width="24.42578125" style="1" customWidth="1"/>
    <col min="4" max="4" width="16.85546875" style="1" customWidth="1"/>
    <col min="5" max="5" width="14" style="1" customWidth="1"/>
    <col min="6" max="6" width="13.140625" style="1" customWidth="1"/>
    <col min="7" max="8" width="15.85546875" style="1" customWidth="1"/>
    <col min="9" max="9" width="12.42578125" style="1" customWidth="1"/>
    <col min="10" max="10" width="2.42578125" style="1" customWidth="1"/>
    <col min="11" max="11" width="10.85546875" style="1" customWidth="1"/>
    <col min="12" max="12" width="11.85546875" style="1" customWidth="1"/>
    <col min="13" max="16384" width="9.140625" style="1"/>
  </cols>
  <sheetData>
    <row r="2" spans="1:6" ht="18.75" x14ac:dyDescent="0.25">
      <c r="A2" s="3"/>
      <c r="B2" s="562" t="s">
        <v>88</v>
      </c>
      <c r="C2" s="563"/>
      <c r="D2" s="563"/>
      <c r="E2" s="563"/>
      <c r="F2" s="564"/>
    </row>
    <row r="3" spans="1:6" x14ac:dyDescent="0.25">
      <c r="B3" s="337"/>
      <c r="C3" s="56"/>
      <c r="D3" s="26"/>
      <c r="E3" s="406"/>
      <c r="F3" s="370" t="s">
        <v>87</v>
      </c>
    </row>
    <row r="4" spans="1:6" x14ac:dyDescent="0.25">
      <c r="B4" s="337" t="s">
        <v>526</v>
      </c>
      <c r="C4" s="56"/>
      <c r="D4" s="26"/>
      <c r="E4" s="240"/>
      <c r="F4" s="307">
        <f>+Antecedentes!I51</f>
        <v>54030000</v>
      </c>
    </row>
    <row r="5" spans="1:6" x14ac:dyDescent="0.25">
      <c r="B5" s="337" t="s">
        <v>527</v>
      </c>
      <c r="C5" s="22"/>
      <c r="D5" s="22"/>
      <c r="E5" s="240"/>
      <c r="F5" s="307">
        <f>+'BI y art.14 letra E)'!K34</f>
        <v>50822397</v>
      </c>
    </row>
    <row r="6" spans="1:6" x14ac:dyDescent="0.25">
      <c r="B6" s="337" t="s">
        <v>528</v>
      </c>
      <c r="C6" s="22"/>
      <c r="D6" s="22"/>
      <c r="E6" s="240"/>
      <c r="F6" s="307">
        <f>+Antecedentes!L30</f>
        <v>720000</v>
      </c>
    </row>
    <row r="7" spans="1:6" x14ac:dyDescent="0.25">
      <c r="B7" s="337" t="s">
        <v>529</v>
      </c>
      <c r="C7" s="56"/>
      <c r="D7" s="26"/>
      <c r="E7" s="240"/>
      <c r="F7" s="307">
        <f>-'RAI Final'!F5</f>
        <v>-16000000</v>
      </c>
    </row>
    <row r="8" spans="1:6" x14ac:dyDescent="0.25">
      <c r="B8" s="337" t="s">
        <v>530</v>
      </c>
      <c r="C8" s="56"/>
      <c r="D8" s="26"/>
      <c r="E8" s="240"/>
      <c r="F8" s="317">
        <f>-Antecedentes!L45</f>
        <v>-140000</v>
      </c>
    </row>
    <row r="9" spans="1:6" x14ac:dyDescent="0.25">
      <c r="B9" s="337" t="s">
        <v>531</v>
      </c>
      <c r="C9" s="56"/>
      <c r="D9" s="26"/>
      <c r="E9" s="240"/>
      <c r="F9" s="317">
        <f>-Antecedentes!L46</f>
        <v>-2300000</v>
      </c>
    </row>
    <row r="10" spans="1:6" x14ac:dyDescent="0.25">
      <c r="B10" s="337" t="s">
        <v>532</v>
      </c>
      <c r="C10" s="405"/>
      <c r="D10" s="26"/>
      <c r="E10" s="240"/>
      <c r="F10" s="320">
        <f>-'Crédito IPE'!K40</f>
        <v>-2781987</v>
      </c>
    </row>
    <row r="11" spans="1:6" ht="15.75" thickBot="1" x14ac:dyDescent="0.3">
      <c r="B11" s="374" t="s">
        <v>533</v>
      </c>
      <c r="C11" s="375"/>
      <c r="D11" s="407"/>
      <c r="E11" s="408"/>
      <c r="F11" s="408">
        <f>-'BI y art.14 letra E)'!K33</f>
        <v>32382398</v>
      </c>
    </row>
    <row r="12" spans="1:6" ht="20.25" customHeight="1" thickTop="1" x14ac:dyDescent="0.25">
      <c r="B12" s="246" t="s">
        <v>534</v>
      </c>
      <c r="C12" s="368"/>
      <c r="D12" s="143"/>
      <c r="E12" s="369"/>
      <c r="F12" s="371">
        <f>SUM(F3:F11)</f>
        <v>116732808</v>
      </c>
    </row>
    <row r="13" spans="1:6" ht="15.75" x14ac:dyDescent="0.25">
      <c r="F13" s="4"/>
    </row>
  </sheetData>
  <mergeCells count="1">
    <mergeCell ref="B2:F2"/>
  </mergeCells>
  <phoneticPr fontId="17" type="noConversion"/>
  <pageMargins left="0.70866141732283472" right="0.70866141732283472" top="0.74803149606299213" bottom="0.74803149606299213" header="0.31496062992125984" footer="0.31496062992125984"/>
  <pageSetup paperSize="9" scale="65" orientation="portrait" r:id="rId1"/>
  <drawing r:id="rId2"/>
  <extLst>
    <ext xmlns:mx="http://schemas.microsoft.com/office/mac/excel/2008/main" uri="http://schemas.microsoft.com/office/mac/excel/2008/main">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45"/>
  <sheetViews>
    <sheetView showGridLines="0" zoomScale="90" zoomScaleNormal="90" zoomScalePageLayoutView="85" workbookViewId="0"/>
  </sheetViews>
  <sheetFormatPr baseColWidth="10" defaultColWidth="11.42578125" defaultRowHeight="15.75" x14ac:dyDescent="0.25"/>
  <cols>
    <col min="1" max="1" width="3.140625" style="8" customWidth="1"/>
    <col min="2" max="2" width="92.42578125" style="8" customWidth="1"/>
    <col min="3" max="3" width="5.5703125" style="8" bestFit="1" customWidth="1"/>
    <col min="4" max="4" width="20" style="8" customWidth="1"/>
    <col min="5" max="5" width="2.140625" style="8" bestFit="1" customWidth="1"/>
    <col min="6" max="17" width="4.85546875" style="8" customWidth="1"/>
    <col min="18" max="16384" width="11.42578125" style="8"/>
  </cols>
  <sheetData>
    <row r="1" spans="1:5" x14ac:dyDescent="0.25">
      <c r="A1" s="30"/>
      <c r="B1" s="30"/>
      <c r="C1" s="30"/>
      <c r="D1" s="30"/>
      <c r="E1" s="30"/>
    </row>
    <row r="2" spans="1:5" x14ac:dyDescent="0.25">
      <c r="A2" s="30"/>
      <c r="B2" s="565" t="s">
        <v>95</v>
      </c>
      <c r="C2" s="566"/>
      <c r="D2" s="566"/>
      <c r="E2" s="567"/>
    </row>
    <row r="3" spans="1:5" ht="10.5" customHeight="1" x14ac:dyDescent="0.25">
      <c r="A3" s="30"/>
      <c r="B3" s="568"/>
      <c r="C3" s="569"/>
      <c r="D3" s="569"/>
      <c r="E3" s="570"/>
    </row>
    <row r="4" spans="1:5" ht="25.5" x14ac:dyDescent="0.25">
      <c r="A4" s="30"/>
      <c r="B4" s="413"/>
      <c r="C4" s="413"/>
      <c r="D4" s="414" t="s">
        <v>96</v>
      </c>
      <c r="E4" s="413"/>
    </row>
    <row r="5" spans="1:5" x14ac:dyDescent="0.25">
      <c r="A5" s="30"/>
      <c r="B5" s="409" t="s">
        <v>97</v>
      </c>
      <c r="C5" s="417">
        <v>1400</v>
      </c>
      <c r="D5" s="416">
        <f ca="1">SUMIF('BI y art.14 letra E)'!$C$5:$K$35,'R17 '!C5,'BI y art.14 letra E)'!$K$5:$K$35)</f>
        <v>95000000</v>
      </c>
      <c r="E5" s="417" t="s">
        <v>76</v>
      </c>
    </row>
    <row r="6" spans="1:5" x14ac:dyDescent="0.25">
      <c r="A6" s="30"/>
      <c r="B6" s="409" t="s">
        <v>98</v>
      </c>
      <c r="C6" s="417">
        <v>1817</v>
      </c>
      <c r="D6" s="416">
        <f ca="1">SUMIF('BI y art.14 letra E)'!$C$5:$K$35,'R17 '!C6,'BI y art.14 letra E)'!$K$5:$K$35)</f>
        <v>8000000</v>
      </c>
      <c r="E6" s="417" t="s">
        <v>76</v>
      </c>
    </row>
    <row r="7" spans="1:5" x14ac:dyDescent="0.25">
      <c r="A7" s="30"/>
      <c r="B7" s="409" t="s">
        <v>99</v>
      </c>
      <c r="C7" s="417">
        <v>1401</v>
      </c>
      <c r="D7" s="421">
        <f ca="1">SUMIF('BI y art.14 letra E)'!$C$5:$K$35,'R17 '!C7,'BI y art.14 letra E)'!$K$5:$K$35)</f>
        <v>11849859</v>
      </c>
      <c r="E7" s="417" t="s">
        <v>76</v>
      </c>
    </row>
    <row r="8" spans="1:5" x14ac:dyDescent="0.25">
      <c r="A8" s="30"/>
      <c r="B8" s="409" t="s">
        <v>100</v>
      </c>
      <c r="C8" s="417">
        <v>1402</v>
      </c>
      <c r="D8" s="416"/>
      <c r="E8" s="417" t="s">
        <v>76</v>
      </c>
    </row>
    <row r="9" spans="1:5" x14ac:dyDescent="0.25">
      <c r="A9" s="30"/>
      <c r="B9" s="410" t="s">
        <v>101</v>
      </c>
      <c r="C9" s="417">
        <v>1403</v>
      </c>
      <c r="D9" s="416"/>
      <c r="E9" s="417" t="s">
        <v>76</v>
      </c>
    </row>
    <row r="10" spans="1:5" ht="15.75" customHeight="1" x14ac:dyDescent="0.25">
      <c r="A10" s="30"/>
      <c r="B10" s="410" t="s">
        <v>102</v>
      </c>
      <c r="C10" s="417">
        <v>1587</v>
      </c>
      <c r="D10" s="416">
        <f ca="1">SUMIF('BI y art.14 letra E)'!$C$5:$K$35,'R17 '!C10,'BI y art.14 letra E)'!$K$5:$K$35)</f>
        <v>5000000</v>
      </c>
      <c r="E10" s="417" t="s">
        <v>76</v>
      </c>
    </row>
    <row r="11" spans="1:5" ht="15.75" customHeight="1" x14ac:dyDescent="0.25">
      <c r="A11" s="30"/>
      <c r="B11" s="409" t="s">
        <v>103</v>
      </c>
      <c r="C11" s="417">
        <v>1588</v>
      </c>
      <c r="D11" s="416">
        <f ca="1">SUMIF('BI y art.14 letra E)'!$C$5:$K$35,'R17 '!C11,'BI y art.14 letra E)'!$K$5:$K$35)</f>
        <v>200936</v>
      </c>
      <c r="E11" s="417" t="s">
        <v>76</v>
      </c>
    </row>
    <row r="12" spans="1:5" ht="15.75" customHeight="1" x14ac:dyDescent="0.25">
      <c r="A12" s="30"/>
      <c r="B12" s="410" t="s">
        <v>104</v>
      </c>
      <c r="C12" s="417">
        <v>1404</v>
      </c>
      <c r="D12" s="416"/>
      <c r="E12" s="417" t="s">
        <v>76</v>
      </c>
    </row>
    <row r="13" spans="1:5" ht="15.75" customHeight="1" x14ac:dyDescent="0.25">
      <c r="A13" s="30"/>
      <c r="B13" s="410" t="s">
        <v>105</v>
      </c>
      <c r="C13" s="417">
        <v>1405</v>
      </c>
      <c r="D13" s="416"/>
      <c r="E13" s="417" t="s">
        <v>76</v>
      </c>
    </row>
    <row r="14" spans="1:5" x14ac:dyDescent="0.25">
      <c r="A14" s="30"/>
      <c r="B14" s="411" t="s">
        <v>106</v>
      </c>
      <c r="C14" s="417">
        <v>1410</v>
      </c>
      <c r="D14" s="418">
        <f ca="1">SUM(D5:D13)</f>
        <v>120050795</v>
      </c>
      <c r="E14" s="417" t="s">
        <v>79</v>
      </c>
    </row>
    <row r="15" spans="1:5" x14ac:dyDescent="0.25">
      <c r="A15" s="30"/>
      <c r="B15" s="410" t="s">
        <v>107</v>
      </c>
      <c r="C15" s="417">
        <v>1406</v>
      </c>
      <c r="D15" s="418"/>
      <c r="E15" s="417" t="s">
        <v>82</v>
      </c>
    </row>
    <row r="16" spans="1:5" x14ac:dyDescent="0.25">
      <c r="A16" s="30"/>
      <c r="B16" s="410" t="s">
        <v>108</v>
      </c>
      <c r="C16" s="417">
        <v>1407</v>
      </c>
      <c r="D16" s="416"/>
      <c r="E16" s="417" t="s">
        <v>82</v>
      </c>
    </row>
    <row r="17" spans="1:10" x14ac:dyDescent="0.25">
      <c r="A17" s="30"/>
      <c r="B17" s="410" t="s">
        <v>109</v>
      </c>
      <c r="C17" s="417">
        <v>1408</v>
      </c>
      <c r="D17" s="416"/>
      <c r="E17" s="417" t="s">
        <v>82</v>
      </c>
    </row>
    <row r="18" spans="1:10" x14ac:dyDescent="0.25">
      <c r="A18" s="30"/>
      <c r="B18" s="410" t="s">
        <v>110</v>
      </c>
      <c r="C18" s="417">
        <v>1409</v>
      </c>
      <c r="D18" s="416">
        <f ca="1">-SUMIF('BI y art.14 letra E)'!$C$5:$K$35,'R17 '!C18,'BI y art.14 letra E)'!$K$5:$K$35)</f>
        <v>22000000</v>
      </c>
      <c r="E18" s="417" t="s">
        <v>82</v>
      </c>
    </row>
    <row r="19" spans="1:10" ht="25.5" x14ac:dyDescent="0.25">
      <c r="A19" s="30"/>
      <c r="B19" s="410" t="s">
        <v>111</v>
      </c>
      <c r="C19" s="417">
        <v>1818</v>
      </c>
      <c r="D19" s="419">
        <f ca="1">-SUMIF('BI y art.14 letra E)'!$C$5:$K$35,'R17 '!C19,'BI y art.14 letra E)'!$K$5:$K$35)</f>
        <v>2000000</v>
      </c>
      <c r="E19" s="417" t="s">
        <v>82</v>
      </c>
    </row>
    <row r="20" spans="1:10" x14ac:dyDescent="0.25">
      <c r="A20" s="30"/>
      <c r="B20" s="410" t="s">
        <v>112</v>
      </c>
      <c r="C20" s="417">
        <v>1429</v>
      </c>
      <c r="D20" s="416"/>
      <c r="E20" s="417" t="s">
        <v>82</v>
      </c>
    </row>
    <row r="21" spans="1:10" x14ac:dyDescent="0.25">
      <c r="A21" s="30"/>
      <c r="B21" s="410" t="s">
        <v>113</v>
      </c>
      <c r="C21" s="417">
        <v>1411</v>
      </c>
      <c r="D21" s="421">
        <f ca="1">-SUMIF('BI y art.14 letra E)'!$C$5:$K$35,'R17 '!C21,'BI y art.14 letra E)'!$K$5:$K$35)</f>
        <v>8505000</v>
      </c>
      <c r="E21" s="417" t="s">
        <v>82</v>
      </c>
    </row>
    <row r="22" spans="1:10" x14ac:dyDescent="0.25">
      <c r="A22" s="30"/>
      <c r="B22" s="410" t="s">
        <v>114</v>
      </c>
      <c r="C22" s="417">
        <v>1412</v>
      </c>
      <c r="D22" s="416">
        <f ca="1">-SUMIF('BI y art.14 letra E)'!$C$5:$K$35,'R17 '!C22,'BI y art.14 letra E)'!$K$5:$K$35)</f>
        <v>1000000</v>
      </c>
      <c r="E22" s="417" t="s">
        <v>82</v>
      </c>
    </row>
    <row r="23" spans="1:10" x14ac:dyDescent="0.25">
      <c r="A23" s="30"/>
      <c r="B23" s="410" t="s">
        <v>115</v>
      </c>
      <c r="C23" s="417">
        <v>1413</v>
      </c>
      <c r="D23" s="416">
        <f ca="1">-SUMIF('BI y art.14 letra E)'!$C$5:$K$35,'R17 '!C23,'BI y art.14 letra E)'!$K$5:$K$35)</f>
        <v>2000000</v>
      </c>
      <c r="E23" s="417" t="s">
        <v>82</v>
      </c>
    </row>
    <row r="24" spans="1:10" x14ac:dyDescent="0.25">
      <c r="A24" s="30"/>
      <c r="B24" s="410" t="s">
        <v>116</v>
      </c>
      <c r="C24" s="417">
        <v>1415</v>
      </c>
      <c r="D24" s="416">
        <f ca="1">-SUMIF('BI y art.14 letra E)'!$C$5:$K$35,'R17 '!C24,'BI y art.14 letra E)'!$K$5:$K$35)</f>
        <v>860000</v>
      </c>
      <c r="E24" s="417" t="s">
        <v>82</v>
      </c>
    </row>
    <row r="25" spans="1:10" x14ac:dyDescent="0.25">
      <c r="A25" s="30"/>
      <c r="B25" s="410" t="s">
        <v>117</v>
      </c>
      <c r="C25" s="417">
        <v>1416</v>
      </c>
      <c r="D25" s="416"/>
      <c r="E25" s="417" t="s">
        <v>82</v>
      </c>
    </row>
    <row r="26" spans="1:10" x14ac:dyDescent="0.25">
      <c r="A26" s="30"/>
      <c r="B26" s="410" t="s">
        <v>118</v>
      </c>
      <c r="C26" s="417">
        <v>1417</v>
      </c>
      <c r="D26" s="416"/>
      <c r="E26" s="417" t="s">
        <v>82</v>
      </c>
      <c r="H26" s="571"/>
      <c r="I26" s="571"/>
      <c r="J26" s="571"/>
    </row>
    <row r="27" spans="1:10" x14ac:dyDescent="0.25">
      <c r="A27" s="30"/>
      <c r="B27" s="410" t="s">
        <v>119</v>
      </c>
      <c r="C27" s="417">
        <v>1418</v>
      </c>
      <c r="D27" s="416"/>
      <c r="E27" s="417" t="s">
        <v>82</v>
      </c>
    </row>
    <row r="28" spans="1:10" x14ac:dyDescent="0.25">
      <c r="A28" s="30"/>
      <c r="B28" s="410" t="s">
        <v>120</v>
      </c>
      <c r="C28" s="417">
        <v>1419</v>
      </c>
      <c r="D28" s="418">
        <f ca="1">-SUMIF('BI y art.14 letra E)'!$C$5:$K$35,'R17 '!C28,'BI y art.14 letra E)'!$K$5:$K$35)</f>
        <v>280000</v>
      </c>
      <c r="E28" s="417" t="s">
        <v>82</v>
      </c>
    </row>
    <row r="29" spans="1:10" x14ac:dyDescent="0.25">
      <c r="A29" s="30"/>
      <c r="B29" s="410" t="s">
        <v>121</v>
      </c>
      <c r="C29" s="417">
        <v>1421</v>
      </c>
      <c r="D29" s="416"/>
      <c r="E29" s="417" t="s">
        <v>82</v>
      </c>
    </row>
    <row r="30" spans="1:10" x14ac:dyDescent="0.25">
      <c r="A30" s="30"/>
      <c r="B30" s="410" t="s">
        <v>122</v>
      </c>
      <c r="C30" s="417">
        <v>1422</v>
      </c>
      <c r="D30" s="418">
        <f ca="1">-SUMIF('BI y art.14 letra E)'!$C$5:$K$35,'R17 '!C30,'BI y art.14 letra E)'!$K$5:$K$35)</f>
        <v>2440000</v>
      </c>
      <c r="E30" s="417" t="s">
        <v>82</v>
      </c>
    </row>
    <row r="31" spans="1:10" x14ac:dyDescent="0.25">
      <c r="A31" s="30"/>
      <c r="B31" s="410" t="s">
        <v>123</v>
      </c>
      <c r="C31" s="417">
        <v>1423</v>
      </c>
      <c r="D31" s="416"/>
      <c r="E31" s="417" t="s">
        <v>82</v>
      </c>
    </row>
    <row r="32" spans="1:10" x14ac:dyDescent="0.25">
      <c r="A32" s="30"/>
      <c r="B32" s="410" t="s">
        <v>124</v>
      </c>
      <c r="C32" s="417">
        <v>1424</v>
      </c>
      <c r="D32" s="418">
        <f ca="1">-SUMIF('BI y art.14 letra E)'!$C$5:$K$35,'R17 '!C32,'BI y art.14 letra E)'!$K$5:$K$35)</f>
        <v>201000</v>
      </c>
      <c r="E32" s="417" t="s">
        <v>82</v>
      </c>
    </row>
    <row r="33" spans="1:5" x14ac:dyDescent="0.25">
      <c r="A33" s="30"/>
      <c r="B33" s="410" t="s">
        <v>125</v>
      </c>
      <c r="C33" s="417">
        <v>1425</v>
      </c>
      <c r="D33" s="416"/>
      <c r="E33" s="417" t="s">
        <v>82</v>
      </c>
    </row>
    <row r="34" spans="1:5" x14ac:dyDescent="0.25">
      <c r="A34" s="30"/>
      <c r="B34" s="410" t="s">
        <v>126</v>
      </c>
      <c r="C34" s="417">
        <v>1426</v>
      </c>
      <c r="D34" s="150"/>
      <c r="E34" s="417" t="s">
        <v>82</v>
      </c>
    </row>
    <row r="35" spans="1:5" x14ac:dyDescent="0.25">
      <c r="A35" s="30"/>
      <c r="B35" s="410" t="s">
        <v>127</v>
      </c>
      <c r="C35" s="417">
        <v>1427</v>
      </c>
      <c r="D35" s="416"/>
      <c r="E35" s="417" t="s">
        <v>82</v>
      </c>
    </row>
    <row r="36" spans="1:5" ht="18.75" customHeight="1" x14ac:dyDescent="0.25">
      <c r="A36" s="30"/>
      <c r="B36" s="410" t="s">
        <v>128</v>
      </c>
      <c r="C36" s="417">
        <v>1428</v>
      </c>
      <c r="D36" s="416"/>
      <c r="E36" s="417" t="s">
        <v>82</v>
      </c>
    </row>
    <row r="37" spans="1:5" x14ac:dyDescent="0.25">
      <c r="A37" s="30"/>
      <c r="B37" s="411" t="s">
        <v>129</v>
      </c>
      <c r="C37" s="417">
        <v>1430</v>
      </c>
      <c r="D37" s="418">
        <f ca="1">SUM(D15:D36)</f>
        <v>39286000</v>
      </c>
      <c r="E37" s="415" t="s">
        <v>79</v>
      </c>
    </row>
    <row r="38" spans="1:5" ht="25.5" x14ac:dyDescent="0.25">
      <c r="A38" s="30"/>
      <c r="B38" s="410" t="s">
        <v>130</v>
      </c>
      <c r="C38" s="417">
        <v>1431</v>
      </c>
      <c r="D38" s="418">
        <f ca="1">SUMIF('BI y art.14 letra E)'!$C$5:$K$35,'R17 '!C38,'BI y art.14 letra E)'!$K$5:$K$35)</f>
        <v>2440000</v>
      </c>
      <c r="E38" s="417" t="s">
        <v>76</v>
      </c>
    </row>
    <row r="39" spans="1:5" ht="25.5" x14ac:dyDescent="0.25">
      <c r="A39" s="30"/>
      <c r="B39" s="410" t="s">
        <v>131</v>
      </c>
      <c r="C39" s="417">
        <v>1729</v>
      </c>
      <c r="D39" s="418">
        <f ca="1">+D14-D37+D38</f>
        <v>83204795</v>
      </c>
      <c r="E39" s="417" t="s">
        <v>79</v>
      </c>
    </row>
    <row r="40" spans="1:5" x14ac:dyDescent="0.25">
      <c r="A40" s="30"/>
      <c r="B40" s="410" t="s">
        <v>132</v>
      </c>
      <c r="C40" s="417">
        <v>1432</v>
      </c>
      <c r="D40" s="418">
        <f ca="1">-SUMIF('BI y art.14 letra E)'!$C$5:$K$35,'R17 '!C40,'BI y art.14 letra E)'!$K$5:$K$35)</f>
        <v>32382398</v>
      </c>
      <c r="E40" s="417" t="s">
        <v>82</v>
      </c>
    </row>
    <row r="41" spans="1:5" x14ac:dyDescent="0.25">
      <c r="A41" s="30"/>
      <c r="B41" s="410" t="s">
        <v>133</v>
      </c>
      <c r="C41" s="417">
        <v>1433</v>
      </c>
      <c r="D41" s="416"/>
      <c r="E41" s="417" t="s">
        <v>82</v>
      </c>
    </row>
    <row r="42" spans="1:5" ht="22.5" customHeight="1" x14ac:dyDescent="0.25">
      <c r="A42" s="30"/>
      <c r="B42" s="412" t="s">
        <v>134</v>
      </c>
      <c r="C42" s="417">
        <v>1440</v>
      </c>
      <c r="D42" s="418">
        <f ca="1">+D39-D40-D41</f>
        <v>50822397</v>
      </c>
      <c r="E42" s="415" t="s">
        <v>79</v>
      </c>
    </row>
    <row r="43" spans="1:5" x14ac:dyDescent="0.25">
      <c r="A43" s="30"/>
      <c r="B43" s="30"/>
      <c r="C43" s="30"/>
      <c r="D43" s="30"/>
      <c r="E43" s="30"/>
    </row>
    <row r="44" spans="1:5" x14ac:dyDescent="0.25">
      <c r="A44" s="30"/>
      <c r="B44" s="28"/>
      <c r="C44" s="30"/>
      <c r="D44" s="30"/>
      <c r="E44" s="30"/>
    </row>
    <row r="45" spans="1:5" x14ac:dyDescent="0.25">
      <c r="A45" s="30"/>
    </row>
  </sheetData>
  <mergeCells count="2">
    <mergeCell ref="B2:E3"/>
    <mergeCell ref="H26:J26"/>
  </mergeCells>
  <phoneticPr fontId="17" type="noConversion"/>
  <pageMargins left="0.70866141732283472" right="0.70866141732283472" top="0.74803149606299213" bottom="0.74803149606299213" header="0.31496062992125984" footer="0.31496062992125984"/>
  <drawing r:id="rId1"/>
  <extLst>
    <ext xmlns:mx="http://schemas.microsoft.com/office/mac/excel/2008/main" uri="http://schemas.microsoft.com/office/mac/excel/2008/main">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GE17"/>
  <sheetViews>
    <sheetView showGridLines="0" zoomScale="90" zoomScaleNormal="90" zoomScaleSheetLayoutView="100" workbookViewId="0">
      <selection activeCell="D8" sqref="D8"/>
    </sheetView>
  </sheetViews>
  <sheetFormatPr baseColWidth="10" defaultColWidth="11.42578125" defaultRowHeight="15.75" x14ac:dyDescent="0.25"/>
  <cols>
    <col min="1" max="1" width="2.85546875" style="8" customWidth="1"/>
    <col min="2" max="2" width="93.140625" style="8" customWidth="1"/>
    <col min="3" max="3" width="5.5703125" style="8" bestFit="1" customWidth="1"/>
    <col min="4" max="4" width="22.140625" style="8" customWidth="1"/>
    <col min="5" max="5" width="2.140625" style="8" bestFit="1" customWidth="1"/>
    <col min="6" max="12" width="4.85546875" style="8" customWidth="1"/>
    <col min="13" max="13" width="5.85546875" style="8" customWidth="1"/>
    <col min="14" max="15" width="4.85546875" style="8" customWidth="1"/>
    <col min="16" max="16" width="12.85546875" style="8" bestFit="1" customWidth="1"/>
    <col min="17" max="19" width="4.85546875" style="8" customWidth="1"/>
    <col min="20" max="16384" width="11.42578125" style="8"/>
  </cols>
  <sheetData>
    <row r="2" spans="2:187" x14ac:dyDescent="0.25">
      <c r="B2" s="572" t="s">
        <v>135</v>
      </c>
      <c r="C2" s="572"/>
      <c r="D2" s="572"/>
      <c r="E2" s="572"/>
    </row>
    <row r="3" spans="2:187" ht="14.25" customHeight="1" x14ac:dyDescent="0.25">
      <c r="B3" s="572"/>
      <c r="C3" s="572"/>
      <c r="D3" s="572"/>
      <c r="E3" s="572"/>
    </row>
    <row r="4" spans="2:187" x14ac:dyDescent="0.25">
      <c r="B4" s="409" t="s">
        <v>136</v>
      </c>
      <c r="C4" s="417">
        <v>1703</v>
      </c>
      <c r="D4" s="418">
        <f>'R19'!D23</f>
        <v>116732808</v>
      </c>
      <c r="E4" s="417" t="s">
        <v>76</v>
      </c>
    </row>
    <row r="5" spans="2:187" x14ac:dyDescent="0.25">
      <c r="B5" s="409" t="s">
        <v>137</v>
      </c>
      <c r="C5" s="417">
        <v>1719</v>
      </c>
      <c r="D5" s="418"/>
      <c r="E5" s="417" t="s">
        <v>82</v>
      </c>
    </row>
    <row r="6" spans="2:187" x14ac:dyDescent="0.25">
      <c r="B6" s="409" t="s">
        <v>138</v>
      </c>
      <c r="C6" s="417">
        <v>1492</v>
      </c>
      <c r="D6" s="418"/>
      <c r="E6" s="417" t="s">
        <v>76</v>
      </c>
    </row>
    <row r="7" spans="2:187" x14ac:dyDescent="0.25">
      <c r="B7" s="409" t="s">
        <v>139</v>
      </c>
      <c r="C7" s="417">
        <v>1704</v>
      </c>
      <c r="D7" s="418">
        <f>+'RAI Final'!F5</f>
        <v>16000000</v>
      </c>
      <c r="E7" s="417" t="s">
        <v>76</v>
      </c>
    </row>
    <row r="8" spans="2:187" x14ac:dyDescent="0.25">
      <c r="B8" s="411" t="s">
        <v>140</v>
      </c>
      <c r="C8" s="417">
        <v>1720</v>
      </c>
      <c r="D8" s="418">
        <f>SUM(D4:D7)</f>
        <v>132732808</v>
      </c>
      <c r="E8" s="417" t="s">
        <v>79</v>
      </c>
    </row>
    <row r="9" spans="2:187" x14ac:dyDescent="0.25">
      <c r="B9" s="409" t="s">
        <v>141</v>
      </c>
      <c r="C9" s="417">
        <v>1493</v>
      </c>
      <c r="D9" s="420">
        <f>-'RAI Final'!F6</f>
        <v>160000</v>
      </c>
      <c r="E9" s="417" t="s">
        <v>82</v>
      </c>
    </row>
    <row r="10" spans="2:187" x14ac:dyDescent="0.25">
      <c r="B10" s="409" t="s">
        <v>142</v>
      </c>
      <c r="C10" s="417">
        <v>1494</v>
      </c>
      <c r="D10" s="420">
        <f>-'RAI Final'!F7</f>
        <v>30600000</v>
      </c>
      <c r="E10" s="417" t="s">
        <v>82</v>
      </c>
      <c r="GE10" s="9"/>
    </row>
    <row r="11" spans="2:187" ht="18.75" customHeight="1" x14ac:dyDescent="0.25">
      <c r="B11" s="410" t="s">
        <v>143</v>
      </c>
      <c r="C11" s="417">
        <v>1725</v>
      </c>
      <c r="D11" s="418"/>
      <c r="E11" s="417" t="s">
        <v>82</v>
      </c>
    </row>
    <row r="12" spans="2:187" x14ac:dyDescent="0.25">
      <c r="B12" s="410" t="s">
        <v>144</v>
      </c>
      <c r="C12" s="417">
        <v>1727</v>
      </c>
      <c r="D12" s="418"/>
      <c r="E12" s="417" t="s">
        <v>82</v>
      </c>
    </row>
    <row r="13" spans="2:187" ht="17.25" customHeight="1" x14ac:dyDescent="0.25">
      <c r="B13" s="411" t="s">
        <v>145</v>
      </c>
      <c r="C13" s="417">
        <v>1500</v>
      </c>
      <c r="D13" s="418">
        <f>+D8-SUM(D9:D12)</f>
        <v>101972808</v>
      </c>
      <c r="E13" s="417" t="s">
        <v>79</v>
      </c>
    </row>
    <row r="15" spans="2:187" x14ac:dyDescent="0.25">
      <c r="B15" s="15"/>
    </row>
    <row r="17" spans="2:2" x14ac:dyDescent="0.25">
      <c r="B17" s="9"/>
    </row>
  </sheetData>
  <mergeCells count="1">
    <mergeCell ref="B2:E3"/>
  </mergeCells>
  <phoneticPr fontId="17" type="noConversion"/>
  <pageMargins left="0.35" right="0.63" top="0.75" bottom="0.75" header="0.3" footer="0.3"/>
  <drawing r:id="rId1"/>
  <extLst>
    <ext xmlns:mx="http://schemas.microsoft.com/office/mac/excel/2008/main" uri="http://schemas.microsoft.com/office/mac/excel/2008/main">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2:E26"/>
  <sheetViews>
    <sheetView showGridLines="0" zoomScale="90" zoomScaleNormal="90" workbookViewId="0">
      <selection activeCell="D30" sqref="D30"/>
    </sheetView>
  </sheetViews>
  <sheetFormatPr baseColWidth="10" defaultColWidth="11.42578125" defaultRowHeight="12.75" x14ac:dyDescent="0.2"/>
  <cols>
    <col min="1" max="1" width="4.140625" style="75" customWidth="1"/>
    <col min="2" max="2" width="93.5703125" style="75" customWidth="1"/>
    <col min="3" max="3" width="5.5703125" style="75" bestFit="1" customWidth="1"/>
    <col min="4" max="4" width="15.140625" style="75" customWidth="1"/>
    <col min="5" max="5" width="2.140625" style="75" bestFit="1" customWidth="1"/>
    <col min="6" max="12" width="4.85546875" style="75" customWidth="1"/>
    <col min="13" max="13" width="12.85546875" style="75" bestFit="1" customWidth="1"/>
    <col min="14" max="19" width="4.85546875" style="75" customWidth="1"/>
    <col min="20" max="16384" width="11.42578125" style="75"/>
  </cols>
  <sheetData>
    <row r="2" spans="2:5" x14ac:dyDescent="0.2">
      <c r="B2" s="572" t="s">
        <v>146</v>
      </c>
      <c r="C2" s="572"/>
      <c r="D2" s="572"/>
      <c r="E2" s="572"/>
    </row>
    <row r="3" spans="2:5" ht="24" customHeight="1" x14ac:dyDescent="0.2">
      <c r="B3" s="572"/>
      <c r="C3" s="572"/>
      <c r="D3" s="572"/>
      <c r="E3" s="572"/>
    </row>
    <row r="4" spans="2:5" ht="15" customHeight="1" x14ac:dyDescent="0.2">
      <c r="B4" s="410" t="s">
        <v>147</v>
      </c>
      <c r="C4" s="417">
        <v>1445</v>
      </c>
      <c r="D4" s="418">
        <f>+'CPT Simplificado'!F4</f>
        <v>54030000</v>
      </c>
      <c r="E4" s="417" t="s">
        <v>76</v>
      </c>
    </row>
    <row r="5" spans="2:5" ht="15" customHeight="1" x14ac:dyDescent="0.2">
      <c r="B5" s="410" t="s">
        <v>148</v>
      </c>
      <c r="C5" s="417">
        <v>1446</v>
      </c>
      <c r="D5" s="418"/>
      <c r="E5" s="417" t="s">
        <v>82</v>
      </c>
    </row>
    <row r="6" spans="2:5" ht="24.75" customHeight="1" x14ac:dyDescent="0.2">
      <c r="B6" s="410" t="s">
        <v>149</v>
      </c>
      <c r="C6" s="417">
        <v>1374</v>
      </c>
      <c r="D6" s="418"/>
      <c r="E6" s="417" t="s">
        <v>76</v>
      </c>
    </row>
    <row r="7" spans="2:5" ht="15" customHeight="1" x14ac:dyDescent="0.2">
      <c r="B7" s="410" t="s">
        <v>150</v>
      </c>
      <c r="C7" s="417">
        <v>1375</v>
      </c>
      <c r="D7" s="418"/>
      <c r="E7" s="417" t="s">
        <v>76</v>
      </c>
    </row>
    <row r="8" spans="2:5" ht="15" customHeight="1" x14ac:dyDescent="0.2">
      <c r="B8" s="410" t="s">
        <v>151</v>
      </c>
      <c r="C8" s="417">
        <v>1376</v>
      </c>
      <c r="D8" s="418"/>
      <c r="E8" s="417" t="s">
        <v>82</v>
      </c>
    </row>
    <row r="9" spans="2:5" ht="15" customHeight="1" x14ac:dyDescent="0.2">
      <c r="B9" s="410" t="s">
        <v>152</v>
      </c>
      <c r="C9" s="417">
        <v>1705</v>
      </c>
      <c r="D9" s="418">
        <f>+'CPT Simplificado'!F5</f>
        <v>50822397</v>
      </c>
      <c r="E9" s="417" t="s">
        <v>76</v>
      </c>
    </row>
    <row r="10" spans="2:5" ht="15" customHeight="1" x14ac:dyDescent="0.2">
      <c r="B10" s="410" t="s">
        <v>153</v>
      </c>
      <c r="C10" s="417">
        <v>1706</v>
      </c>
      <c r="D10" s="418"/>
      <c r="E10" s="417" t="s">
        <v>82</v>
      </c>
    </row>
    <row r="11" spans="2:5" ht="15" customHeight="1" x14ac:dyDescent="0.2">
      <c r="B11" s="410" t="s">
        <v>126</v>
      </c>
      <c r="C11" s="417">
        <v>1707</v>
      </c>
      <c r="D11" s="418"/>
      <c r="E11" s="417" t="s">
        <v>76</v>
      </c>
    </row>
    <row r="12" spans="2:5" ht="15" customHeight="1" x14ac:dyDescent="0.2">
      <c r="B12" s="427" t="s">
        <v>154</v>
      </c>
      <c r="C12" s="417">
        <v>1377</v>
      </c>
      <c r="D12" s="418"/>
      <c r="E12" s="417" t="s">
        <v>76</v>
      </c>
    </row>
    <row r="13" spans="2:5" ht="15" customHeight="1" x14ac:dyDescent="0.2">
      <c r="B13" s="410" t="s">
        <v>155</v>
      </c>
      <c r="C13" s="417">
        <v>1378</v>
      </c>
      <c r="D13" s="418"/>
      <c r="E13" s="417" t="s">
        <v>82</v>
      </c>
    </row>
    <row r="14" spans="2:5" ht="15" customHeight="1" x14ac:dyDescent="0.2">
      <c r="B14" s="410" t="s">
        <v>156</v>
      </c>
      <c r="C14" s="417">
        <v>1726</v>
      </c>
      <c r="D14" s="418">
        <f>+'CPT Simplificado'!F6</f>
        <v>720000</v>
      </c>
      <c r="E14" s="417" t="s">
        <v>76</v>
      </c>
    </row>
    <row r="15" spans="2:5" ht="15" customHeight="1" x14ac:dyDescent="0.2">
      <c r="B15" s="410" t="s">
        <v>157</v>
      </c>
      <c r="C15" s="417">
        <v>1479</v>
      </c>
      <c r="D15" s="418">
        <f>-'CPT Simplificado'!F7</f>
        <v>16000000</v>
      </c>
      <c r="E15" s="417" t="s">
        <v>82</v>
      </c>
    </row>
    <row r="16" spans="2:5" ht="15" customHeight="1" x14ac:dyDescent="0.2">
      <c r="B16" s="410" t="s">
        <v>158</v>
      </c>
      <c r="C16" s="417">
        <v>1708</v>
      </c>
      <c r="D16" s="418">
        <f>-'CPT Simplificado'!F8-'CPT Simplificado'!F9</f>
        <v>2440000</v>
      </c>
      <c r="E16" s="417" t="s">
        <v>82</v>
      </c>
    </row>
    <row r="17" spans="2:5" ht="16.5" customHeight="1" x14ac:dyDescent="0.2">
      <c r="B17" s="410" t="s">
        <v>104</v>
      </c>
      <c r="C17" s="417">
        <v>1709</v>
      </c>
      <c r="D17" s="418"/>
      <c r="E17" s="417" t="s">
        <v>82</v>
      </c>
    </row>
    <row r="18" spans="2:5" ht="15" customHeight="1" x14ac:dyDescent="0.2">
      <c r="B18" s="410" t="s">
        <v>159</v>
      </c>
      <c r="C18" s="417">
        <v>1379</v>
      </c>
      <c r="D18" s="418">
        <f>'Crédito IPE'!K40</f>
        <v>2781987</v>
      </c>
      <c r="E18" s="417" t="s">
        <v>82</v>
      </c>
    </row>
    <row r="19" spans="2:5" ht="15" customHeight="1" x14ac:dyDescent="0.2">
      <c r="B19" s="410" t="s">
        <v>132</v>
      </c>
      <c r="C19" s="417">
        <v>1710</v>
      </c>
      <c r="D19" s="418">
        <f>+'CPT Simplificado'!F11</f>
        <v>32382398</v>
      </c>
      <c r="E19" s="417" t="s">
        <v>76</v>
      </c>
    </row>
    <row r="20" spans="2:5" ht="15" customHeight="1" x14ac:dyDescent="0.2">
      <c r="B20" s="410" t="s">
        <v>160</v>
      </c>
      <c r="C20" s="417">
        <v>1711</v>
      </c>
      <c r="D20" s="418"/>
      <c r="E20" s="417" t="s">
        <v>76</v>
      </c>
    </row>
    <row r="21" spans="2:5" ht="15" customHeight="1" x14ac:dyDescent="0.2">
      <c r="B21" s="410" t="s">
        <v>161</v>
      </c>
      <c r="C21" s="417">
        <v>1380</v>
      </c>
      <c r="D21" s="418"/>
      <c r="E21" s="417" t="s">
        <v>76</v>
      </c>
    </row>
    <row r="22" spans="2:5" ht="15" customHeight="1" x14ac:dyDescent="0.2">
      <c r="B22" s="410" t="s">
        <v>162</v>
      </c>
      <c r="C22" s="417">
        <v>1381</v>
      </c>
      <c r="D22" s="418"/>
      <c r="E22" s="417" t="s">
        <v>82</v>
      </c>
    </row>
    <row r="23" spans="2:5" ht="19.5" customHeight="1" x14ac:dyDescent="0.2">
      <c r="B23" s="412" t="s">
        <v>163</v>
      </c>
      <c r="C23" s="417">
        <v>1545</v>
      </c>
      <c r="D23" s="418">
        <f>+D4+D9+D14-D15-D16-D18+D19</f>
        <v>116732808</v>
      </c>
      <c r="E23" s="415" t="s">
        <v>79</v>
      </c>
    </row>
    <row r="24" spans="2:5" ht="19.5" customHeight="1" x14ac:dyDescent="0.2">
      <c r="B24" s="412" t="s">
        <v>164</v>
      </c>
      <c r="C24" s="417">
        <v>1546</v>
      </c>
      <c r="D24" s="418"/>
      <c r="E24" s="415" t="s">
        <v>79</v>
      </c>
    </row>
    <row r="26" spans="2:5" x14ac:dyDescent="0.2">
      <c r="B26" s="76"/>
    </row>
  </sheetData>
  <mergeCells count="1">
    <mergeCell ref="B2:E3"/>
  </mergeCells>
  <phoneticPr fontId="17" type="noConversion"/>
  <pageMargins left="0.70866141732283472" right="0.70866141732283472" top="0.74803149606299213" bottom="0.74803149606299213" header="0.31496062992125984" footer="0.31496062992125984"/>
  <drawing r:id="rId1"/>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A6BC1F09C7F74295BCF86B6AAB5361" ma:contentTypeVersion="3" ma:contentTypeDescription="Crear nuevo documento." ma:contentTypeScope="" ma:versionID="851bf6f6f834046125e7e5e4021dd347">
  <xsd:schema xmlns:xsd="http://www.w3.org/2001/XMLSchema" xmlns:xs="http://www.w3.org/2001/XMLSchema" xmlns:p="http://schemas.microsoft.com/office/2006/metadata/properties" xmlns:ns2="fbbd845a-e295-4ab8-920d-215652fdca24" targetNamespace="http://schemas.microsoft.com/office/2006/metadata/properties" ma:root="true" ma:fieldsID="95ace7efc7ded8afb45f2f82836754a7" ns2:_="">
    <xsd:import namespace="fbbd845a-e295-4ab8-920d-215652fdca2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bd845a-e295-4ab8-920d-215652fdca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6FE1D4B-6CC9-4252-A54B-D4D93C22A18A}">
  <ds:schemaRefs>
    <ds:schemaRef ds:uri="http://schemas.microsoft.com/sharepoint/v3/contenttype/forms"/>
  </ds:schemaRefs>
</ds:datastoreItem>
</file>

<file path=customXml/itemProps2.xml><?xml version="1.0" encoding="utf-8"?>
<ds:datastoreItem xmlns:ds="http://schemas.openxmlformats.org/officeDocument/2006/customXml" ds:itemID="{20F42BC4-2092-4EDA-982A-1B24992C13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bd845a-e295-4ab8-920d-215652fdca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7C02E2D-93DC-485F-8ECA-1C0624132D4B}">
  <ds:schemaRefs>
    <ds:schemaRef ds:uri="http://purl.org/dc/terms/"/>
    <ds:schemaRef ds:uri="http://purl.org/dc/dcmitype/"/>
    <ds:schemaRef ds:uri="http://schemas.microsoft.com/office/2006/documentManagement/types"/>
    <ds:schemaRef ds:uri="fbbd845a-e295-4ab8-920d-215652fdca24"/>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Antecedentes</vt:lpstr>
      <vt:lpstr>Crédito IPE</vt:lpstr>
      <vt:lpstr>BI y art.14 letra E)</vt:lpstr>
      <vt:lpstr>RAI Final</vt:lpstr>
      <vt:lpstr>RTRE</vt:lpstr>
      <vt:lpstr>CPT Simplificado</vt:lpstr>
      <vt:lpstr>R17 </vt:lpstr>
      <vt:lpstr>R18 </vt:lpstr>
      <vt:lpstr>R19</vt:lpstr>
      <vt:lpstr>R20</vt:lpstr>
      <vt:lpstr>R21</vt:lpstr>
      <vt:lpstr>Datos para DJ 1948</vt:lpstr>
      <vt:lpstr>F1948</vt:lpstr>
      <vt:lpstr>C70 Sr. Ortiz</vt:lpstr>
      <vt:lpstr>'BI y art.14 letra E)'!Área_de_impresión</vt:lpstr>
      <vt:lpstr>'CPT Simplificado'!Área_de_impresión</vt:lpstr>
      <vt:lpstr>'Crédito IPE'!Área_de_impresión</vt:lpstr>
      <vt:lpstr>'F1948'!Área_de_impresión</vt:lpstr>
      <vt:lpstr>'R17 '!Área_de_impresión</vt:lpstr>
      <vt:lpstr>'R18 '!Área_de_impresión</vt:lpstr>
      <vt:lpstr>'R19'!Área_de_impresión</vt:lpstr>
      <vt:lpstr>RTRE!Área_de_impresión</vt:lpstr>
      <vt:lpstr>'R17 '!Títulos_a_imprimir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Gerardo A. Escudero Toledo</dc:creator>
  <cp:keywords/>
  <dc:description/>
  <cp:lastModifiedBy>Catalina Cecilia Collao Jofré</cp:lastModifiedBy>
  <cp:revision/>
  <dcterms:created xsi:type="dcterms:W3CDTF">2020-07-18T19:38:20Z</dcterms:created>
  <dcterms:modified xsi:type="dcterms:W3CDTF">2026-01-30T15:44:52Z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0x010100B1A6BC1F09C7F74295BCF86B6AAB5361</vt:lpwstr>
  </property>
</Properties>
</file>